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HP\Desktop\PUDTR JANVIER A DECEMBRE 2025\PTBA 2025\"/>
    </mc:Choice>
  </mc:AlternateContent>
  <xr:revisionPtr revIDLastSave="0" documentId="8_{2E60CF26-A6D2-4CFC-98B5-69BBFDDCBE10}" xr6:coauthVersionLast="47" xr6:coauthVersionMax="47" xr10:uidLastSave="{00000000-0000-0000-0000-000000000000}"/>
  <bookViews>
    <workbookView xWindow="-108" yWindow="-108" windowWidth="23256" windowHeight="12456" xr2:uid="{F2100D0E-6DF9-48E3-BDAF-BB025D9D6E56}"/>
  </bookViews>
  <sheets>
    <sheet name="17_12_2024" sheetId="1" r:id="rId1"/>
  </sheets>
  <definedNames>
    <definedName name="_xlnm.Print_Titles" localSheetId="0">'17_12_2024'!$13:$14</definedName>
    <definedName name="_xlnm.Print_Area" localSheetId="0">'17_12_2024'!$A$1:$N$64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1" l="1"/>
  <c r="G37" i="1"/>
  <c r="G40" i="1"/>
  <c r="G48" i="1"/>
  <c r="I48" i="1"/>
  <c r="G50" i="1"/>
  <c r="H48" i="1" l="1"/>
  <c r="G54" i="1" l="1"/>
  <c r="G17" i="1"/>
  <c r="G45" i="1"/>
  <c r="G44" i="1"/>
  <c r="G21" i="1" l="1"/>
  <c r="G46" i="1"/>
  <c r="G38" i="1" l="1"/>
  <c r="G62" i="1"/>
  <c r="G39" i="1" l="1"/>
  <c r="G58" i="1" l="1"/>
  <c r="G57" i="1"/>
  <c r="G19" i="1"/>
  <c r="G18" i="1"/>
  <c r="G56" i="1"/>
  <c r="G55" i="1"/>
  <c r="G63" i="1" l="1"/>
  <c r="G49" i="1"/>
  <c r="I37" i="1" l="1"/>
  <c r="H37" i="1" l="1"/>
  <c r="G41" i="1" l="1"/>
  <c r="H41" i="1" s="1"/>
  <c r="I42" i="1"/>
  <c r="I43" i="1"/>
  <c r="H51" i="1"/>
  <c r="I50" i="1"/>
  <c r="I49" i="1"/>
  <c r="H63" i="1"/>
  <c r="I62" i="1"/>
  <c r="H61" i="1"/>
  <c r="G60" i="1"/>
  <c r="I60" i="1" s="1"/>
  <c r="I58" i="1"/>
  <c r="I57" i="1"/>
  <c r="H56" i="1"/>
  <c r="I56" i="1" s="1"/>
  <c r="I55" i="1"/>
  <c r="H54" i="1"/>
  <c r="I53" i="1"/>
  <c r="H53" i="1"/>
  <c r="I46" i="1"/>
  <c r="I45" i="1"/>
  <c r="H43" i="1"/>
  <c r="H42" i="1"/>
  <c r="I39" i="1"/>
  <c r="H38" i="1"/>
  <c r="G31" i="1"/>
  <c r="H31" i="1" s="1"/>
  <c r="G30" i="1"/>
  <c r="H30" i="1" s="1"/>
  <c r="G29" i="1"/>
  <c r="I29" i="1" s="1"/>
  <c r="G27" i="1"/>
  <c r="I27" i="1" s="1"/>
  <c r="I25" i="1"/>
  <c r="H25" i="1"/>
  <c r="I23" i="1"/>
  <c r="H23" i="1"/>
  <c r="H21" i="1"/>
  <c r="I19" i="1"/>
  <c r="I18" i="1"/>
  <c r="I17" i="1"/>
  <c r="I40" i="1" l="1"/>
  <c r="H60" i="1"/>
  <c r="H50" i="1"/>
  <c r="I38" i="1"/>
  <c r="H44" i="1"/>
  <c r="I21" i="1"/>
  <c r="I44" i="1"/>
  <c r="I63" i="1"/>
  <c r="G22" i="1"/>
  <c r="H22" i="1" s="1"/>
  <c r="I30" i="1"/>
  <c r="I41" i="1"/>
  <c r="I31" i="1"/>
  <c r="H39" i="1"/>
  <c r="I54" i="1"/>
  <c r="H57" i="1"/>
  <c r="H19" i="1"/>
  <c r="H29" i="1"/>
  <c r="H46" i="1"/>
  <c r="H55" i="1"/>
  <c r="H49" i="1"/>
  <c r="H17" i="1"/>
  <c r="H40" i="1"/>
  <c r="H58" i="1"/>
  <c r="H18" i="1"/>
  <c r="H27" i="1"/>
  <c r="I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 Rachel Olga OUEDRAOGO</author>
  </authors>
  <commentList>
    <comment ref="J48" authorId="0" shapeId="0" xr:uid="{1A80B7CB-958A-429B-B0AE-4D7EC6E5ED54}">
      <text>
        <r>
          <rPr>
            <b/>
            <sz val="9"/>
            <color indexed="81"/>
            <rFont val="Tahoma"/>
            <family val="2"/>
          </rPr>
          <t>W. Rachel Olga OUEDRAOGO:</t>
        </r>
        <r>
          <rPr>
            <sz val="9"/>
            <color indexed="81"/>
            <rFont val="Tahoma"/>
            <family val="2"/>
          </rPr>
          <t xml:space="preserve">
709,29 =90,62+63+42,7+47+418+47,97</t>
        </r>
      </text>
    </comment>
  </commentList>
</comments>
</file>

<file path=xl/sharedStrings.xml><?xml version="1.0" encoding="utf-8"?>
<sst xmlns="http://schemas.openxmlformats.org/spreadsheetml/2006/main" count="225" uniqueCount="160">
  <si>
    <t>LEGENDE</t>
  </si>
  <si>
    <t>OBJECTIFS DE DEVELOPPEMENT</t>
  </si>
  <si>
    <t>OBJECTIFS INTERMEDIAIRES</t>
  </si>
  <si>
    <t>Cadre de résultats</t>
  </si>
  <si>
    <t xml:space="preserve">PAYS : Burkina Faso </t>
  </si>
  <si>
    <t>Projet d’urgence de developpment territorial et de resilience  au Burkina Faso</t>
  </si>
  <si>
    <t xml:space="preserve">Objectifs de développement du projet
L'AOP proposée vise à améliorer l'accès des communautés participantes (y compris les personnes déplacées à l'intérieur du pays) aux services sociaux essentiels, aux infrastructures et  à l'alimentation </t>
  </si>
  <si>
    <t>Indicateurs des objectifs de développement des projets</t>
  </si>
  <si>
    <t>N°</t>
  </si>
  <si>
    <t>Nom de l'indicateur</t>
  </si>
  <si>
    <t>3 (2023)</t>
  </si>
  <si>
    <t>4 (2024)</t>
  </si>
  <si>
    <t>Objectif final PUDTR</t>
  </si>
  <si>
    <t>Objectif final PUDRT+FA</t>
  </si>
  <si>
    <t>Ecart par rapport à la cible annuelle 2024</t>
  </si>
  <si>
    <t>Ecart par rapport à la cible finale 2025</t>
  </si>
  <si>
    <t xml:space="preserve">Actions menées à date </t>
  </si>
  <si>
    <t>Perspectives</t>
  </si>
  <si>
    <t xml:space="preserve">Appréciation du niveau d'atteinte des cibles (en fin décembre 2024) </t>
  </si>
  <si>
    <t>Perspectives d'ici le 31/12/2025</t>
  </si>
  <si>
    <t xml:space="preserve">Accès aux infrastructures critiques </t>
  </si>
  <si>
    <r>
      <t xml:space="preserve">Nombre de bénéficiaires ayant accès aux infrastructures de communication (routes en toutes saisons et signal mobile à large bande) </t>
    </r>
    <r>
      <rPr>
        <b/>
        <sz val="10"/>
        <rFont val="Calibri"/>
        <family val="2"/>
        <scheme val="minor"/>
      </rPr>
      <t xml:space="preserve">(Nombre) </t>
    </r>
  </si>
  <si>
    <t xml:space="preserve">La cible atteinte </t>
  </si>
  <si>
    <t xml:space="preserve">La cible finale atteinte </t>
  </si>
  <si>
    <r>
      <t xml:space="preserve">Nombre de femmes bénéficiaires ayant amélioré leurs revenus grâce au projet </t>
    </r>
    <r>
      <rPr>
        <b/>
        <sz val="10"/>
        <rFont val="Calibri"/>
        <family val="2"/>
        <scheme val="minor"/>
      </rPr>
      <t>(Nombre)</t>
    </r>
    <r>
      <rPr>
        <sz val="10"/>
        <rFont val="Calibri"/>
        <family val="2"/>
        <scheme val="minor"/>
      </rPr>
      <t xml:space="preserve"> </t>
    </r>
  </si>
  <si>
    <t>Les activités projetées devraient permettre l'atteinte de la cible à la fin du projet</t>
  </si>
  <si>
    <r>
      <t xml:space="preserve">dont 30% sont des PDI </t>
    </r>
    <r>
      <rPr>
        <b/>
        <sz val="10"/>
        <rFont val="Calibri"/>
        <family val="2"/>
        <scheme val="minor"/>
      </rPr>
      <t>(Nombre)</t>
    </r>
    <r>
      <rPr>
        <sz val="10"/>
        <rFont val="Calibri"/>
        <family val="2"/>
        <scheme val="minor"/>
      </rPr>
      <t xml:space="preserve"> </t>
    </r>
  </si>
  <si>
    <t xml:space="preserve">Accès aux services sociaux essentiels </t>
  </si>
  <si>
    <r>
      <t xml:space="preserve">Nombre de bénéficiaires qui ont reçu des services sociaux essentiels améliorés grâce au projet </t>
    </r>
    <r>
      <rPr>
        <b/>
        <sz val="10"/>
        <rFont val="Calibri"/>
        <family val="2"/>
        <scheme val="minor"/>
      </rPr>
      <t xml:space="preserve">(Nombre) </t>
    </r>
  </si>
  <si>
    <t>*Poursuivre l'équipement des infrastuctures 
*Poursuivre les travaux de réalisation des infrastructures</t>
  </si>
  <si>
    <t>Cible atteinte</t>
  </si>
  <si>
    <r>
      <t xml:space="preserve">dont 50 % sont des femmes </t>
    </r>
    <r>
      <rPr>
        <b/>
        <sz val="10"/>
        <rFont val="Calibri"/>
        <family val="2"/>
        <scheme val="minor"/>
      </rPr>
      <t xml:space="preserve">(Nombre) </t>
    </r>
  </si>
  <si>
    <t xml:space="preserve">Participation des communautés sélectionnées ( y compris les PDI) </t>
  </si>
  <si>
    <r>
      <t xml:space="preserve">Taux de satisfaction exprimé par les bénéficiaires pour les investissements dans les projets sur la base des réponses aux enquêtes de satisfaction annuelles itératives </t>
    </r>
    <r>
      <rPr>
        <b/>
        <sz val="10"/>
        <rFont val="Calibri"/>
        <family val="2"/>
        <scheme val="minor"/>
      </rPr>
      <t xml:space="preserve">(Pourcentage) </t>
    </r>
  </si>
  <si>
    <t xml:space="preserve">Enquête de satisfaction réalisée et résultats diffusés </t>
  </si>
  <si>
    <t>La cible atteinte</t>
  </si>
  <si>
    <t xml:space="preserve">Inclusion de tous les groupes de la communauté </t>
  </si>
  <si>
    <r>
      <t xml:space="preserve">Communes intégrant le retour d'information des consultations des bénéficiaires (y compris les personnes déplacées et les femmes) dans les principaux documents stratégiques (budgets et plan de développement) </t>
    </r>
    <r>
      <rPr>
        <b/>
        <sz val="10"/>
        <rFont val="Calibri"/>
        <family val="2"/>
        <scheme val="minor"/>
      </rPr>
      <t>(Pourcentage)</t>
    </r>
    <r>
      <rPr>
        <sz val="10"/>
        <rFont val="Calibri"/>
        <family val="2"/>
        <scheme val="minor"/>
      </rPr>
      <t xml:space="preserve"> </t>
    </r>
  </si>
  <si>
    <t>3 PCD élaborés au profit de trois communes ayant exprimé leur besoin d'accompagnement</t>
  </si>
  <si>
    <t>La cible risque de ne pas être atteinte du fait de  l'inaccessibilité de certaines localités  pour des raisons de sécurité et du fait que l'appui à l'élaboration /révision des PCD se fait sur demande du bénéficiaire</t>
  </si>
  <si>
    <t>Accès à l'alimentation</t>
  </si>
  <si>
    <r>
      <t xml:space="preserve">Bénéficiaires de l'aide alimentaire et nutritionnelle d'urgence pendant la période de soudure </t>
    </r>
    <r>
      <rPr>
        <b/>
        <sz val="10"/>
        <rFont val="Calibri"/>
        <family val="2"/>
        <scheme val="minor"/>
      </rPr>
      <t>(Nombre)</t>
    </r>
  </si>
  <si>
    <r>
      <t xml:space="preserve">dont 50% de femmes </t>
    </r>
    <r>
      <rPr>
        <b/>
        <sz val="10"/>
        <rFont val="Calibri"/>
        <family val="2"/>
        <scheme val="minor"/>
      </rPr>
      <t>(Nombre)</t>
    </r>
  </si>
  <si>
    <r>
      <t xml:space="preserve">dont 30% sont des personnes déplacées </t>
    </r>
    <r>
      <rPr>
        <b/>
        <sz val="10"/>
        <rFont val="Calibri"/>
        <family val="2"/>
        <scheme val="minor"/>
      </rPr>
      <t>(Nombre)</t>
    </r>
  </si>
  <si>
    <t>Indicateurs de résultats intermédiaires par composante</t>
  </si>
  <si>
    <t>Objectif final PUDTR+FA</t>
  </si>
  <si>
    <t>Perpectives</t>
  </si>
  <si>
    <t xml:space="preserve">Améliorer l'offre de services sociaux de base </t>
  </si>
  <si>
    <t xml:space="preserve">Nombre d'infrastructures sociales nouvellement construites ou réhabilitées ( éducation et santé)  </t>
  </si>
  <si>
    <r>
      <t xml:space="preserve">Système simplifié d'approvisionnement en eau potable et forages communautaires pour l'eau potable équipés de l'énergie solaire </t>
    </r>
    <r>
      <rPr>
        <b/>
        <sz val="10"/>
        <rFont val="Calibri"/>
        <family val="2"/>
        <scheme val="minor"/>
      </rPr>
      <t>(Nombre)</t>
    </r>
    <r>
      <rPr>
        <sz val="10"/>
        <rFont val="Calibri"/>
        <family val="2"/>
        <scheme val="minor"/>
      </rPr>
      <t xml:space="preserve"> </t>
    </r>
  </si>
  <si>
    <t xml:space="preserve">La cible sera atteinte </t>
  </si>
  <si>
    <r>
      <t xml:space="preserve">Centre de réponse aux SGBV soutenu pour fournir des soins intégrés dans les communes bénéficiaires </t>
    </r>
    <r>
      <rPr>
        <b/>
        <sz val="10"/>
        <rFont val="Calibri"/>
        <family val="2"/>
        <scheme val="minor"/>
      </rPr>
      <t xml:space="preserve">(Pourcentage) </t>
    </r>
  </si>
  <si>
    <r>
      <t xml:space="preserve">Personnes ayant bénéficié de services essentiels de santé et de nutrition </t>
    </r>
    <r>
      <rPr>
        <b/>
        <sz val="10"/>
        <rFont val="Calibri"/>
        <family val="2"/>
        <scheme val="minor"/>
      </rPr>
      <t xml:space="preserve">(Nombre) </t>
    </r>
  </si>
  <si>
    <t>Dont nombre de femmes/filles</t>
  </si>
  <si>
    <t>Dont nombre d’enfants ayant reçus des services nutritionnels</t>
  </si>
  <si>
    <t>Dont nombre d’accouchements assistes par du personnel de sante qualifié</t>
  </si>
  <si>
    <r>
      <t xml:space="preserve">Elèves bénéficiant d'un apprentissage direct amélioré </t>
    </r>
    <r>
      <rPr>
        <b/>
        <sz val="10"/>
        <rFont val="Calibri"/>
        <family val="2"/>
        <scheme val="minor"/>
      </rPr>
      <t>(Nombre)</t>
    </r>
    <r>
      <rPr>
        <sz val="10"/>
        <rFont val="Calibri"/>
        <family val="2"/>
        <scheme val="minor"/>
      </rPr>
      <t xml:space="preserve"> </t>
    </r>
  </si>
  <si>
    <r>
      <t xml:space="preserve">Écoles et centres de santé dotés d'un personnel et d'équipements adéquats </t>
    </r>
    <r>
      <rPr>
        <b/>
        <sz val="10"/>
        <rFont val="Calibri"/>
        <family val="2"/>
        <scheme val="minor"/>
      </rPr>
      <t xml:space="preserve">(Pourcentage) </t>
    </r>
  </si>
  <si>
    <t xml:space="preserve">
Poursuivre les appuis dans les domaines santé et éducation 
</t>
  </si>
  <si>
    <t xml:space="preserve">Reprise économique et autonomisation au niveau communautaire </t>
  </si>
  <si>
    <r>
      <t xml:space="preserve">Nombre d'infrastructures économiques construites ou réhabilitées par le projet </t>
    </r>
    <r>
      <rPr>
        <b/>
        <sz val="10"/>
        <rFont val="Calibri"/>
        <family val="2"/>
        <scheme val="minor"/>
      </rPr>
      <t>(Nombre)</t>
    </r>
    <r>
      <rPr>
        <sz val="10"/>
        <rFont val="Calibri"/>
        <family val="2"/>
        <scheme val="minor"/>
      </rPr>
      <t xml:space="preserve"> </t>
    </r>
  </si>
  <si>
    <r>
      <t xml:space="preserve">Bénéficiaires de revenus accrus grâce à des activités génératrices de revenus </t>
    </r>
    <r>
      <rPr>
        <b/>
        <sz val="10"/>
        <rFont val="Calibri"/>
        <family val="2"/>
        <scheme val="minor"/>
      </rPr>
      <t>(Nombre)</t>
    </r>
    <r>
      <rPr>
        <sz val="10"/>
        <rFont val="Calibri"/>
        <family val="2"/>
        <scheme val="minor"/>
      </rPr>
      <t xml:space="preserve"> </t>
    </r>
  </si>
  <si>
    <t>*Poursuivre l'appui aux développement des AGR 
*poursuivre et achever l’acquisition et la distribution des équipements agricoles 
*Démarrer les activités de mise en place des jardins nutritifs
*Accéler les travaux d'aménagement agricole</t>
  </si>
  <si>
    <t>La cible risque de ne pas être atteinte du fait du démarrage tardif des activités d'appui au développement des AGR qui ne permet pas de capter immédiatement l'augmentation des revenus des bénéficiaires</t>
  </si>
  <si>
    <t>La cible sera atteinte d'ici la fin projet au regard des activités projetées</t>
  </si>
  <si>
    <r>
      <t xml:space="preserve">Bénéficiaire participant à des formations aux compétences de la vie courante ou aux moyens de subsistance </t>
    </r>
    <r>
      <rPr>
        <b/>
        <sz val="10"/>
        <rFont val="Calibri"/>
        <family val="2"/>
        <scheme val="minor"/>
      </rPr>
      <t>(Nombre)</t>
    </r>
    <r>
      <rPr>
        <sz val="10"/>
        <rFont val="Calibri"/>
        <family val="2"/>
        <scheme val="minor"/>
      </rPr>
      <t xml:space="preserve"> </t>
    </r>
  </si>
  <si>
    <t xml:space="preserve">La cible finale sera atteinte avec la mise en œuvre des conventions ANERE, etc
</t>
  </si>
  <si>
    <r>
      <t xml:space="preserve">Nombre de jeunes femmes </t>
    </r>
    <r>
      <rPr>
        <b/>
        <sz val="10"/>
        <rFont val="Calibri"/>
        <family val="2"/>
        <scheme val="minor"/>
      </rPr>
      <t>(Nombre)</t>
    </r>
    <r>
      <rPr>
        <sz val="10"/>
        <rFont val="Calibri"/>
        <family val="2"/>
        <scheme val="minor"/>
      </rPr>
      <t xml:space="preserve"> </t>
    </r>
  </si>
  <si>
    <t>Agiculteurs atteints avec des actifs ou des services agricoles (Nombre)</t>
  </si>
  <si>
    <t>Poursuivre les appuis aux producteurs</t>
  </si>
  <si>
    <t xml:space="preserve">Cible atteinte
</t>
  </si>
  <si>
    <t>Dont nombre de femmes</t>
  </si>
  <si>
    <t>Engagement citoyen et gestion du projet</t>
  </si>
  <si>
    <r>
      <t xml:space="preserve">Communes disposant d'un budget et d'un comité de gestion dédiés aux infrastructures financées par le projet </t>
    </r>
    <r>
      <rPr>
        <b/>
        <sz val="10"/>
        <rFont val="Calibri"/>
        <family val="2"/>
        <scheme val="minor"/>
      </rPr>
      <t>(Pourcentage)</t>
    </r>
    <r>
      <rPr>
        <sz val="10"/>
        <rFont val="Calibri"/>
        <family val="2"/>
        <scheme val="minor"/>
      </rPr>
      <t xml:space="preserve"> </t>
    </r>
  </si>
  <si>
    <t>Mise en place et formation des cellules MOS pour les sensibilisation sur la gestion des infrastructures. Les sensibilisations des MOS ont également permis de responsabiliser les membres des COGES sur leurs rôles. 
Des sensibilisations ont été également faites auprès des responsables communaux pour l’inscription d’une ligne dédiée à la gestion des infrastructures dans les budgets communaux. Ainsi, 5 communes de la région de la Boucle du Mouhoun (Boromo, Fara, Toma, Dédougou et Poura), 1 commune de la région de l’Est (Fada N’Gourma) et 1 commune de la région du Centre- Ouest (Koudougou) ont pris en compte l’aspect « gestion, entretien et maintenance » dans leur budget primitif de 2024. Les communes restantes se sont engagées à le faire au budget supplémentaire.
1 Comité de gestion mis en place pour le CSPS du secteur 2 de Fada N'Gourma</t>
  </si>
  <si>
    <t>*Poursuivre les sensibilisations des communes, des COGES existants sur la prise en compte des infrastructures réalisées/réhabilitées par le projet
*Former le COGES du CSPS du secteur 2 de Fada N'Gourma 
*Suivre la mise en œuvre des activités par les MOS</t>
  </si>
  <si>
    <t>La cible risque de ne pas être atteinte au regard du temps par les communes pour adhérer à la démarche</t>
  </si>
  <si>
    <t>La cible finale sera atteinte avec l'accentuation des sensibilisation et plaidoyé réalisées par les MOS</t>
  </si>
  <si>
    <r>
      <t>Nombre de communes bénéficiaires disposant d'un mécanisme fonctionnel de recours et de gestion des conflits</t>
    </r>
    <r>
      <rPr>
        <b/>
        <sz val="10"/>
        <rFont val="Calibri"/>
        <family val="2"/>
        <scheme val="minor"/>
      </rPr>
      <t xml:space="preserve"> (Nombre)</t>
    </r>
    <r>
      <rPr>
        <sz val="10"/>
        <rFont val="Calibri"/>
        <family val="2"/>
        <scheme val="minor"/>
      </rPr>
      <t xml:space="preserve"> </t>
    </r>
  </si>
  <si>
    <t xml:space="preserve">Mise en place de comités de gestion des plaintes dans 30 communes de concentration du projet
Des points points focaux ont été désigné et formés dans 57 communes hors zone de concentration, pour la gestion des plaintes </t>
  </si>
  <si>
    <t xml:space="preserve">Poursuivre le renforment des capacités des COGEP dans la zone d'intervention du projet
</t>
  </si>
  <si>
    <r>
      <t xml:space="preserve">Revenu annuel des communes bénéficiaires </t>
    </r>
    <r>
      <rPr>
        <b/>
        <sz val="10"/>
        <rFont val="Calibri"/>
        <family val="2"/>
        <scheme val="minor"/>
      </rPr>
      <t>(pourcentage)</t>
    </r>
    <r>
      <rPr>
        <sz val="10"/>
        <rFont val="Calibri"/>
        <family val="2"/>
        <scheme val="minor"/>
      </rPr>
      <t xml:space="preserve"> </t>
    </r>
  </si>
  <si>
    <t xml:space="preserve">*Paiement de taxe sur aggrégats par les entreprises qui réalisent les travaux
</t>
  </si>
  <si>
    <t>*Poursuivre les travaux de réalisation des infrastructres
*Rendre opérationnel les infrastructures réalisées</t>
  </si>
  <si>
    <r>
      <t xml:space="preserve">Griefs reçus et traités par le biais du système GRM du projet </t>
    </r>
    <r>
      <rPr>
        <b/>
        <sz val="10"/>
        <rFont val="Calibri"/>
        <family val="2"/>
        <scheme val="minor"/>
      </rPr>
      <t xml:space="preserve">(Pourcentage) </t>
    </r>
  </si>
  <si>
    <t>Poursuivre la gestion des plaintes</t>
  </si>
  <si>
    <t xml:space="preserve">Cible atteinte </t>
  </si>
  <si>
    <t xml:space="preserve">Améliorer la connectivité physique et virtuelle et la résilience urbaine </t>
  </si>
  <si>
    <r>
      <t xml:space="preserve">Routes rurales ou interurbaines réhabilitées ou améliorées en routes toutes saisons résistantes au climat </t>
    </r>
    <r>
      <rPr>
        <b/>
        <sz val="10"/>
        <rFont val="Calibri"/>
        <family val="2"/>
        <scheme val="minor"/>
      </rPr>
      <t xml:space="preserve">(Kilomètres) </t>
    </r>
  </si>
  <si>
    <t>La cible sera atteinte avec l'achèvement des travaux HIMO, ouvrages de franchissement, etc</t>
  </si>
  <si>
    <t xml:space="preserve">La cible sera atteinte au regard des perspectives d'activités
 </t>
  </si>
  <si>
    <r>
      <t xml:space="preserve">Construction ou curage d'un canal d'évacuation des eaux pluviales dans les zones inondables des communes urbaines bénéficiaires </t>
    </r>
    <r>
      <rPr>
        <b/>
        <sz val="10"/>
        <rFont val="Calibri"/>
        <family val="2"/>
        <scheme val="minor"/>
      </rPr>
      <t xml:space="preserve">(en kilomètres) </t>
    </r>
  </si>
  <si>
    <r>
      <t xml:space="preserve">Bénéficiaire employé par des travaux à forte intensité de main-d'œuvre </t>
    </r>
    <r>
      <rPr>
        <b/>
        <sz val="10"/>
        <rFont val="Calibri"/>
        <family val="2"/>
        <scheme val="minor"/>
      </rPr>
      <t>(Nombre)</t>
    </r>
    <r>
      <rPr>
        <sz val="10"/>
        <rFont val="Calibri"/>
        <family val="2"/>
        <scheme val="minor"/>
      </rPr>
      <t xml:space="preserve"> </t>
    </r>
  </si>
  <si>
    <t xml:space="preserve">La cible  risque de ne pas être atteinte </t>
  </si>
  <si>
    <r>
      <t xml:space="preserve">Commune bénéficiaire disposant d'au moins un centre numérique </t>
    </r>
    <r>
      <rPr>
        <b/>
        <sz val="10"/>
        <rFont val="Calibri"/>
        <family val="2"/>
        <scheme val="minor"/>
      </rPr>
      <t xml:space="preserve">(Pourcentage) </t>
    </r>
  </si>
  <si>
    <t>Cible 2024 atteinte</t>
  </si>
  <si>
    <t>Cible 2024 sera atteinte</t>
  </si>
  <si>
    <t>Cible 2024 ne sera pas atteinte</t>
  </si>
  <si>
    <t>La cible risque de ne pas être atteinte du fait du démarrage tardif des activités HIMO et des activités d'appui au développement des AGR qui ne permet pas de capter immédiatement l'augmentation des revenus des bénéficiaires
Par ailleurs, les infrastructures économiques qui devraient permettre aux population de mener des activités génératrice de revenus n'ont pu se réaliser convenablement du fait de l'insécurité et des problèmes fonciers</t>
  </si>
  <si>
    <t>*Poursuivre les travaux d'aménagement de pistes rurales (mécanisés et HIMO)
*Achever les ouvrages de franchissement
*Démarrer les travaux des 305 km de pistes rurales</t>
  </si>
  <si>
    <t>*Mettre à la disposition des SVBG les kits MEG 
*Finaliser l'acquisition de matériel médicotechniques au profits des CHR de Fada N'Gourma et Dédougou</t>
  </si>
  <si>
    <t xml:space="preserve">Divers appuis (équipement, matétiel et forunitures scolaires, diffusion de contenu numérique, etc) ont été apporté aux acteurs de l'éductaion par le Projet </t>
  </si>
  <si>
    <t>*Poursuivre la construction des salles de classes
*Equiper les nouvelles salles de classe
*Poursuivre la diffusion de contenu numérique et les cours de rattapage</t>
  </si>
  <si>
    <t>Une étude a permis d’identifier 10 sites et de réaliser l’étude de faisabilité des centres numériques. L’option a été faite de commencer par un CNC pilote à Dédougou
L’étude de faisabilité architecturale et technique a été lancée. Le rapport définitif est attendu en fin octobre 2024</t>
  </si>
  <si>
    <t xml:space="preserve">*Poursuivre les travaux et achever les travaux des pistes, construction d'ouvrage de franchissement
</t>
  </si>
  <si>
    <t>Poursuivre les activités dans le cadre de l'implémenter les centres numériques</t>
  </si>
  <si>
    <t>636 plaintes ont été enregistrées dont 578 plaintes résolues soit un taux de résolution de 90,88 %</t>
  </si>
  <si>
    <t>Le cible risque de ne pas être atteinte</t>
  </si>
  <si>
    <t xml:space="preserve">
*Achever les travaux du marché du secteur 7 de Fada N'Gourma
*Poursuivre les travaux de la salle polyvalente de Fada N'Gourma 
*Démarrer les travaux des gares routières  et hall de marché de </t>
  </si>
  <si>
    <t>*Poursuivre les activités avec ANERE, ENESA, etc
*Mettre en eouvre l'opération 1000 métiers
*Poursuivre les formations en collaboration avec Plan Burkina</t>
  </si>
  <si>
    <t>*Formations des bénéficiaires  sur les compétences de vie courantes réalisées par Plan Burkina  dans  les espaces surs sur divers thématiques (connaissance de soi, estime de soi, valeurs et influence sur le comportement, pression des pairs, fréquentation des services de santé par les adolescentes/adolescents, période d’adolescence et les systèmes reproductifs des hommes et des femmes, règles et la reproduction etc.)
1er trimestre 2024: 6 sessions de formations (entreprenariat, etc ) avec 30 filles formées par session soit 180 filles au total
*453 jeunes formé en énergie photovoltaïque en collaboration avec l’Agence National des Energies Renouvelables et de l’Efficacité Energétique (ANEREE) 
*779 jeunes dont 288 PDI formé en technique de production animale en collaboration avec l’Ecole Nationale de l’Elevage et de la Santé Animale (ENESA)  
*43 jeunes incubés dont 14 femmes dotés en équipements et fonds de roulement en vue de la production agricole sur le périmètre de Bagré</t>
  </si>
  <si>
    <t xml:space="preserve">*Poursuivre l'appui aux 20 associations identifiées, formées, dotés d'équipements et de fonds de roulement 
*Appuyer les 40 nouvelles associations identifiées par la dotation d'équipements et de fonds de roulement  
*Poursuivre la mise en oeuvre des filets sociaux productifs
*Poursuivre les travaux d'aménagement de piste HIMO </t>
  </si>
  <si>
    <t xml:space="preserve">La mise en eouvre des activités d'acquisition et de distrition d'intrants au profit des producteurs
-Campagne 2022-2023: 21 027 bénéficiaires de semences dont 5 517 femmes et  58 392 bénéficiiares d'engrais dont 16 950 femmes
-Campagne humide 2023-2024: 42 683 bénéficiaires de semences et 109225 bénéficiaires d'engrais dont 4 021 PDI
-Campagne sèche 2023-2024: 1 725 bénéficiaires dont 888 femmes, de semences maraichères, fumure organique et NPK et urée </t>
  </si>
  <si>
    <t xml:space="preserve">*Boucler le processus d'élaboration des PCD des communes de Dédougou, Yaba, Réo, Koudougou et Diapangou
*Poursuivre le processus d'élaboration des schémas directeurs d'aménagement des communes de Fada N'Gourma et Boromo
</t>
  </si>
  <si>
    <t xml:space="preserve">Organiser le deuxième et dernière enquête de satisfaction </t>
  </si>
  <si>
    <t xml:space="preserve">Cible atteinte 
</t>
  </si>
  <si>
    <t xml:space="preserve">
*Recruter les entreprises pour la réalisation des 16 AEP/ AEPS 
*Recruter les entreprises pour la réalisation des  75 PEA (2ème extension du Projet)
</t>
  </si>
  <si>
    <r>
      <rPr>
        <b/>
        <u/>
        <sz val="10"/>
        <rFont val="Calibri"/>
        <family val="2"/>
        <scheme val="minor"/>
      </rPr>
      <t xml:space="preserve">
*Transfert de cash par PFS:</t>
    </r>
    <r>
      <rPr>
        <sz val="10"/>
        <rFont val="Calibri"/>
        <family val="2"/>
        <scheme val="minor"/>
      </rPr>
      <t xml:space="preserve"> 29 136 bénéficiaires dont </t>
    </r>
    <r>
      <rPr>
        <b/>
        <sz val="10"/>
        <rFont val="Calibri"/>
        <family val="2"/>
        <scheme val="minor"/>
      </rPr>
      <t>27 551</t>
    </r>
    <r>
      <rPr>
        <sz val="10"/>
        <rFont val="Calibri"/>
        <family val="2"/>
        <scheme val="minor"/>
      </rPr>
      <t xml:space="preserve"> femmes et </t>
    </r>
    <r>
      <rPr>
        <b/>
        <sz val="10"/>
        <rFont val="Calibri"/>
        <family val="2"/>
        <scheme val="minor"/>
      </rPr>
      <t xml:space="preserve">1373 PDI </t>
    </r>
    <r>
      <rPr>
        <sz val="10"/>
        <rFont val="Calibri"/>
        <family val="2"/>
        <scheme val="minor"/>
      </rPr>
      <t xml:space="preserve">dans neuf communes de la région de la Boucle du Mouhoun
</t>
    </r>
    <r>
      <rPr>
        <b/>
        <u/>
        <sz val="10"/>
        <rFont val="Calibri"/>
        <family val="2"/>
        <scheme val="minor"/>
      </rPr>
      <t xml:space="preserve">Appui AGR et Filet sociaux productifs
</t>
    </r>
    <r>
      <rPr>
        <sz val="10"/>
        <rFont val="Calibri"/>
        <family val="2"/>
        <scheme val="minor"/>
      </rPr>
      <t>*</t>
    </r>
    <r>
      <rPr>
        <b/>
        <sz val="10"/>
        <rFont val="Calibri"/>
        <family val="2"/>
        <scheme val="minor"/>
      </rPr>
      <t>452</t>
    </r>
    <r>
      <rPr>
        <sz val="10"/>
        <rFont val="Calibri"/>
        <family val="2"/>
        <scheme val="minor"/>
      </rPr>
      <t xml:space="preserve"> femmes dont </t>
    </r>
    <r>
      <rPr>
        <b/>
        <sz val="10"/>
        <rFont val="Calibri"/>
        <family val="2"/>
        <scheme val="minor"/>
      </rPr>
      <t>401 PDI</t>
    </r>
    <r>
      <rPr>
        <sz val="10"/>
        <rFont val="Calibri"/>
        <family val="2"/>
        <scheme val="minor"/>
      </rPr>
      <t xml:space="preserve"> de 08 associations de la région de l'Est dotées d'équipements et de fonds de roulement
*</t>
    </r>
    <r>
      <rPr>
        <b/>
        <sz val="10"/>
        <rFont val="Calibri"/>
        <family val="2"/>
        <scheme val="minor"/>
      </rPr>
      <t>717</t>
    </r>
    <r>
      <rPr>
        <sz val="10"/>
        <rFont val="Calibri"/>
        <family val="2"/>
        <scheme val="minor"/>
      </rPr>
      <t xml:space="preserve"> femmes dont </t>
    </r>
    <r>
      <rPr>
        <b/>
        <sz val="10"/>
        <rFont val="Calibri"/>
        <family val="2"/>
        <scheme val="minor"/>
      </rPr>
      <t>562 PDI</t>
    </r>
    <r>
      <rPr>
        <sz val="10"/>
        <rFont val="Calibri"/>
        <family val="2"/>
        <scheme val="minor"/>
      </rPr>
      <t xml:space="preserve"> de 12 associations de la région de la Boucle du Mouhoun dotées d'équipements et de fonds de roulement
</t>
    </r>
    <r>
      <rPr>
        <b/>
        <sz val="10"/>
        <rFont val="Calibri"/>
        <family val="2"/>
        <scheme val="minor"/>
      </rPr>
      <t>culture maraichère</t>
    </r>
    <r>
      <rPr>
        <sz val="10"/>
        <rFont val="Calibri"/>
        <family val="2"/>
        <scheme val="minor"/>
      </rPr>
      <t xml:space="preserve">: Campagne sèche 2023-2024: 888 femmes bénéficiaires de semences maraichères, fumure organique et NPK et urée 
</t>
    </r>
    <r>
      <rPr>
        <b/>
        <u/>
        <sz val="10"/>
        <rFont val="Calibri"/>
        <family val="2"/>
        <scheme val="minor"/>
      </rPr>
      <t xml:space="preserve">Travaux HIMO </t>
    </r>
    <r>
      <rPr>
        <sz val="10"/>
        <rFont val="Calibri"/>
        <family val="2"/>
        <scheme val="minor"/>
      </rPr>
      <t xml:space="preserve"> 
</t>
    </r>
    <r>
      <rPr>
        <b/>
        <sz val="10"/>
        <rFont val="Calibri"/>
        <family val="2"/>
        <scheme val="minor"/>
      </rPr>
      <t>759</t>
    </r>
    <r>
      <rPr>
        <sz val="10"/>
        <rFont val="Calibri"/>
        <family val="2"/>
        <scheme val="minor"/>
      </rPr>
      <t xml:space="preserve"> femmes dont </t>
    </r>
    <r>
      <rPr>
        <b/>
        <sz val="10"/>
        <rFont val="Calibri"/>
        <family val="2"/>
        <scheme val="minor"/>
      </rPr>
      <t>162</t>
    </r>
    <r>
      <rPr>
        <sz val="10"/>
        <rFont val="Calibri"/>
        <family val="2"/>
        <scheme val="minor"/>
      </rPr>
      <t xml:space="preserve"> </t>
    </r>
    <r>
      <rPr>
        <b/>
        <sz val="10"/>
        <rFont val="Calibri"/>
        <family val="2"/>
        <scheme val="minor"/>
      </rPr>
      <t>PDI</t>
    </r>
    <r>
      <rPr>
        <sz val="10"/>
        <rFont val="Calibri"/>
        <family val="2"/>
        <scheme val="minor"/>
      </rPr>
      <t xml:space="preserve"> employées dans les travaux de curage de caniveaux (2023-2024)
</t>
    </r>
    <r>
      <rPr>
        <b/>
        <sz val="10"/>
        <rFont val="Calibri"/>
        <family val="2"/>
        <scheme val="minor"/>
      </rPr>
      <t>2480</t>
    </r>
    <r>
      <rPr>
        <sz val="10"/>
        <rFont val="Calibri"/>
        <family val="2"/>
        <scheme val="minor"/>
      </rPr>
      <t xml:space="preserve"> femmes employées dans les travaux de piste HIMO
</t>
    </r>
  </si>
  <si>
    <t>Poursuivre les travaux de normalisation / réhabilitation et construction des formations sanitaires et structures scolaires</t>
  </si>
  <si>
    <r>
      <rPr>
        <b/>
        <sz val="10"/>
        <rFont val="Calibri"/>
        <family val="2"/>
        <scheme val="minor"/>
      </rPr>
      <t xml:space="preserve">1-AGETIB: </t>
    </r>
    <r>
      <rPr>
        <sz val="10"/>
        <rFont val="Calibri"/>
        <family val="2"/>
        <scheme val="minor"/>
      </rPr>
      <t xml:space="preserve">47,5 Km d’ouvrages d’assainissement et de drainage des eaux pluviales  construits dans la ville de Fada N’Gourma  
</t>
    </r>
    <r>
      <rPr>
        <b/>
        <sz val="10"/>
        <rFont val="Calibri"/>
        <family val="2"/>
        <scheme val="minor"/>
      </rPr>
      <t>2-BAGREPOLE:</t>
    </r>
    <r>
      <rPr>
        <sz val="10"/>
        <rFont val="Calibri"/>
        <family val="2"/>
        <scheme val="minor"/>
      </rPr>
      <t xml:space="preserve"> 18,9 km de caniveaux construits dans le cadre des travaux de bitumage d'envion 50 km de route
</t>
    </r>
    <r>
      <rPr>
        <b/>
        <sz val="10"/>
        <rFont val="Calibri"/>
        <family val="2"/>
        <scheme val="minor"/>
      </rPr>
      <t xml:space="preserve">3- Curage: </t>
    </r>
    <r>
      <rPr>
        <sz val="10"/>
        <rFont val="Calibri"/>
        <family val="2"/>
        <scheme val="minor"/>
      </rPr>
      <t>105 km d’ouvrages d’assainissement et de drainage des eaux pluviales ont été curés dans 08 communes</t>
    </r>
  </si>
  <si>
    <r>
      <rPr>
        <b/>
        <sz val="10"/>
        <rFont val="Calibri"/>
        <family val="2"/>
        <scheme val="minor"/>
      </rPr>
      <t>1-AGETIB</t>
    </r>
    <r>
      <rPr>
        <sz val="10"/>
        <rFont val="Calibri"/>
        <family val="2"/>
        <scheme val="minor"/>
      </rPr>
      <t xml:space="preserve">
*Assainissement Fada : 124 ouvriers employé pour les travaux HIMO
*Aménagement de pistes rurales HIMO : 3941 emplois temporaire créés dont 2480 femmes
*Travaux de pavage de voirie à Fada N'Gourma: 770 ouvriers </t>
    </r>
    <r>
      <rPr>
        <b/>
        <sz val="10"/>
        <rFont val="Calibri"/>
        <family val="2"/>
        <scheme val="minor"/>
      </rPr>
      <t xml:space="preserve">employés
2-UCP
</t>
    </r>
    <r>
      <rPr>
        <sz val="10"/>
        <rFont val="Calibri"/>
        <family val="2"/>
        <scheme val="minor"/>
      </rPr>
      <t>*Curage de caniveau 2023: 
Boucle Mouhoun: 800 emplois créées dont 576 hommes et 224 femmes avec 270 PDI dont 102 femmes
Est: 140 emploi créés dont 40 femmes et 60 PDI dont 20 femmes
*Curage de caniveau 2024
Centre Ouest: 700 emplois créés avec 182 femmes et 55 PDI dont 15 Femmes
Centre Est: 440 emplois créées dont 313 femmes et 30 PDI dont 25 femmes
*Travaux de normalisation: 3105 ouvriers employés</t>
    </r>
  </si>
  <si>
    <t xml:space="preserve">La cible risque de ne pas être atteinte </t>
  </si>
  <si>
    <t xml:space="preserve">Le cible risque de ne pas être atteinte </t>
  </si>
  <si>
    <t xml:space="preserve">*Achever les travaux en cours (Pistes HIMO, mécanisées, ouvrages )
*Recruter les entreprises et démarrer les travaux des 500 km de piste dans la 2ème zone d’extension du Projet 
*Poursuivre les travaux d'aménagement de pistes rurales dans les localités où la situation sécuritaire le permet
</t>
  </si>
  <si>
    <t>Cible sera atteinte</t>
  </si>
  <si>
    <r>
      <rPr>
        <b/>
        <u/>
        <sz val="10"/>
        <rFont val="Calibri"/>
        <family val="2"/>
        <scheme val="minor"/>
      </rPr>
      <t>Volet soins essentiels de santé</t>
    </r>
    <r>
      <rPr>
        <b/>
        <sz val="10"/>
        <rFont val="Calibri"/>
        <family val="2"/>
        <scheme val="minor"/>
      </rPr>
      <t xml:space="preserve">: 
</t>
    </r>
    <r>
      <rPr>
        <sz val="10"/>
        <rFont val="Calibri"/>
        <family val="2"/>
        <scheme val="minor"/>
      </rPr>
      <t xml:space="preserve">*Mise à disposition de matériel médico technique et kit VBG à 105 formations santaires 
Ces appuis contribuent à l’amélioration de la qualité de prise en charge des populations y compris des PDI. 
*Mise à disposition de matériel médico technique pour le dépistage de la malnutrition et le suivi de la croissance a été acquis et livré en mars 2022 à des formations sanitaires de 05 communes (Yaba, Tougan, Sanaba, Kouka, Dokuy)
*Dotation de farine infantile
</t>
    </r>
  </si>
  <si>
    <r>
      <rPr>
        <b/>
        <u/>
        <sz val="10"/>
        <rFont val="Calibri"/>
        <family val="2"/>
        <scheme val="minor"/>
      </rPr>
      <t>Infrastructures scolaires:</t>
    </r>
    <r>
      <rPr>
        <sz val="10"/>
        <rFont val="Calibri"/>
        <family val="2"/>
        <scheme val="minor"/>
      </rPr>
      <t xml:space="preserve">
159 structures scolaires normalisées avec 468 salles de classes construites et équipées
</t>
    </r>
    <r>
      <rPr>
        <b/>
        <u/>
        <sz val="10"/>
        <rFont val="Calibri"/>
        <family val="2"/>
        <scheme val="minor"/>
      </rPr>
      <t xml:space="preserve">37 formations sanitaires </t>
    </r>
    <r>
      <rPr>
        <sz val="10"/>
        <rFont val="Calibri"/>
        <family val="2"/>
        <scheme val="minor"/>
      </rPr>
      <t xml:space="preserve">normalisées /réhabilitées et équipées
</t>
    </r>
    <r>
      <rPr>
        <b/>
        <u/>
        <sz val="10"/>
        <rFont val="Calibri"/>
        <family val="2"/>
        <scheme val="minor"/>
      </rPr>
      <t xml:space="preserve">01 CSPS construit, </t>
    </r>
    <r>
      <rPr>
        <sz val="10"/>
        <rFont val="Calibri"/>
        <family val="2"/>
        <scheme val="minor"/>
      </rPr>
      <t xml:space="preserve">équipés et doté de personnel à Fada N'Gourma </t>
    </r>
  </si>
  <si>
    <t xml:space="preserve">
*468 salles de classes réalisées
*200 infrastructures d'approvisionnement en eau réalisées 
*104 formations sanitaires et 01 CSPS construit appuyées par le Projet
</t>
  </si>
  <si>
    <t xml:space="preserve">125 Boutiques construites 
01 village artisanal construit
55,71 ha de basfonds ont été aménagés Tiéma (14,09 ha), Yaba 2  (29,37 ha) et Issapoogo (12,25 ha) 
07,60 ha de périmètres maraicher ont été aménagés (Komyargo : 2 ha; Gourbala : 1,75 ha ; Tourouba et Rassouly : 3,85 ha)
</t>
  </si>
  <si>
    <r>
      <t>*54 371 ménages soit 494 771 bénéficiaires dont 86% PDI et 54% de femmes pour d’un montant total de 10 509 366 000 FCFA dans quarante et une communes de sept régions du pays pour leur permettre de couvrir leur besoins alimentaires pendant la période de soudure
*959 275  personnes vulnérables dont 62 % de PDI et 54 % de populations hôtes bénéficiaires de la distribution des 27 924 tonnes de vivres (céréales) dans 143 communes des 13 régions
-</t>
    </r>
    <r>
      <rPr>
        <sz val="10"/>
        <color rgb="FFFF0000"/>
        <rFont val="Calibri"/>
        <family val="2"/>
        <scheme val="minor"/>
      </rPr>
      <t xml:space="preserve">	tranche 1 de 40 000 tonnes de vivre a bénéficié à 1 383 586 personnes vulnérables dont 57, 45 de PDI et 55,65% de femmes en ce qui concerne les vivres distribués.
-	tranche 2 de 30 000 tonnes de vivres a bénéficié à 300 000 personnes vulnérables</t>
    </r>
    <r>
      <rPr>
        <sz val="10"/>
        <rFont val="Calibri"/>
        <family val="2"/>
        <scheme val="minor"/>
      </rPr>
      <t xml:space="preserve">  </t>
    </r>
  </si>
  <si>
    <t>Responsable</t>
  </si>
  <si>
    <t>Expert Infra</t>
  </si>
  <si>
    <t>Expert CH</t>
  </si>
  <si>
    <t>Expert Sécurité alimentaire</t>
  </si>
  <si>
    <t>S.COM</t>
  </si>
  <si>
    <t>RSE/SCOM</t>
  </si>
  <si>
    <t>Expert CH / Expert VBG</t>
  </si>
  <si>
    <t>Expert CH
Expert SA</t>
  </si>
  <si>
    <t xml:space="preserve">Expert CH
</t>
  </si>
  <si>
    <t>Expert Infra/ RSE</t>
  </si>
  <si>
    <t>Expert TIC</t>
  </si>
  <si>
    <t>Expert DR</t>
  </si>
  <si>
    <t>S.COM/RSE</t>
  </si>
  <si>
    <t>Expert social</t>
  </si>
  <si>
    <r>
      <rPr>
        <b/>
        <u/>
        <sz val="10"/>
        <rFont val="Calibri"/>
        <family val="2"/>
        <scheme val="minor"/>
      </rPr>
      <t xml:space="preserve">
1-AGETIB:</t>
    </r>
    <r>
      <rPr>
        <sz val="10"/>
        <rFont val="Calibri"/>
        <family val="2"/>
        <scheme val="minor"/>
      </rPr>
      <t xml:space="preserve"> 
*Sur les 200 Km: 42,7 Km de pistes réalisés dans la commune de Fada N'Gourma: 17 752 bénéficiaires 
*47 Km de voiries (travaux de revêtement de voirie) réalisés dans la ville de Fada N'Gourma : 140 000 bénéficiaires  de la commune de Fada N'Gourma
*Sur les 150 Km HIMO: 80,14 km dont 47,2 km dans la région de la Boucle du Mouhoun et 32,94 km dans la région de l’Est avec environ 90 000 bénéficiiaires 
*Sur les 150 Km (Ex 400 Km):  63 Km de piste réalisés dans les communes de Bogandé, Bilanga et Fada N’Gourma avec 174 237 bénéficiaires
*34/36 Ouvrages de franchissement réalisés: (202 608 + 50652) bénéficiaires pour le compte des 36 OA 
</t>
    </r>
    <r>
      <rPr>
        <b/>
        <u/>
        <sz val="10"/>
        <rFont val="Calibri"/>
        <family val="2"/>
        <scheme val="minor"/>
      </rPr>
      <t>2-BAGREPOLE:</t>
    </r>
    <r>
      <rPr>
        <sz val="10"/>
        <rFont val="Calibri"/>
        <family val="2"/>
        <scheme val="minor"/>
      </rPr>
      <t xml:space="preserve"> 
*Bitumage de 47,97 Km de route: 41 131 habitants immédiatement situés le long de la route 
</t>
    </r>
  </si>
  <si>
    <t>RAS</t>
  </si>
  <si>
    <r>
      <rPr>
        <b/>
        <sz val="10"/>
        <rFont val="Calibri"/>
        <family val="2"/>
        <scheme val="minor"/>
      </rPr>
      <t xml:space="preserve">1-AGETIB: </t>
    </r>
    <r>
      <rPr>
        <sz val="10"/>
        <rFont val="Calibri"/>
        <family val="2"/>
        <scheme val="minor"/>
      </rPr>
      <t xml:space="preserve">
*80,14 Km pistes rurales aménagés en HIMO
*63 km (sur les 150 km ex 400 km) pistes rurales aménagés en mécanisée
*42,7 km (sur les 200 km) de pistes rurales aménagées 
*47 km de de voirie en terre ont été réalisée dont 29 km revêtues (en pavés, BB et ES).
*Route praticables grace à la construction d'ouvrages de fanchissement
</t>
    </r>
    <r>
      <rPr>
        <b/>
        <sz val="10"/>
        <rFont val="Calibri"/>
        <family val="2"/>
        <scheme val="minor"/>
      </rPr>
      <t>2-BAGREPOLE</t>
    </r>
    <r>
      <rPr>
        <sz val="10"/>
        <rFont val="Calibri"/>
        <family val="2"/>
        <scheme val="minor"/>
      </rPr>
      <t>: 47,97 Km</t>
    </r>
  </si>
  <si>
    <t xml:space="preserve">*12 association de la Boucle du Mouhoun avec 873 membres au total dont 156 hommes et 717 femmes avec un total de 622 PDI dotées d'équipements et de fonds de roulement
*08 associations de l'Est avec  452  membres femmes dont 449 femmes et 03 hommes avec un total de 296 PDI dotées d'équipements et de fonds de roulement
*15 associations de la BM, 12 associations de l'Est, 7 associations du Centre-Est et 7 associations du Centre-Ouest avec 4861 bénéficiaires directs dont 3666 Femmes ,  1195 Hommes et 2168 PDI
*807 bénéficiaires de filets sociaux productifs (equipement et subvention productive)
*5870 bénéficiaires d'aliments pour volaille dont 1526 femmes et 998 PDI
* 480 bénéficirires d'aliments pour poisson dont 59 femmes;
*38300 bénéficiaires d'aliments pour bétail
Dont Total femmes: 2746
Dont Total PDI: 1399
</t>
  </si>
  <si>
    <r>
      <t xml:space="preserve">*12 association de la Boucle du Mouhoun avec 873 membres au total dont 156 hommes et 717 femmes avec un total de 622 PDI dotées d'équipements et de fonds de roulement
*08 associations de l'Est avec  452  membres dont 449 femmes et 03 hommes avec un total de 296 PDI dotées d'équipements et de fonds de roulement
</t>
    </r>
    <r>
      <rPr>
        <sz val="10"/>
        <color rgb="FFFF0000"/>
        <rFont val="Calibri"/>
        <family val="2"/>
        <scheme val="minor"/>
      </rPr>
      <t>*15 associations de la BM, 12 associations de l'Est, 7 associations du Centre-Est et 7 associations du Centre-Ouest avec 4861 bénéficiaires directs dont 3666 Femmes ,  1195 Hommes et 2168 PDI</t>
    </r>
    <r>
      <rPr>
        <sz val="10"/>
        <rFont val="Calibri"/>
        <family val="2"/>
        <scheme val="minor"/>
      </rPr>
      <t xml:space="preserve">
*807 bénéficiaires de filets sociaux productifs (equipement et subvention productive)
*5870 bénéficiaires d'aliments pour volaille dont 1526 femmes et 998 PDI
* 480 bénéficirires d'aliments pour poisson dont 59 femmes;
*38300 bénéficiaires d'aliments pour bétail
</t>
    </r>
    <r>
      <rPr>
        <b/>
        <sz val="10"/>
        <rFont val="Calibri"/>
        <family val="2"/>
        <scheme val="minor"/>
      </rPr>
      <t xml:space="preserve">TOTAL BENEFICIAIRE: 51643
Dont Total femmes: 6417
Dont Total PDI: 4084
</t>
    </r>
  </si>
  <si>
    <r>
      <rPr>
        <b/>
        <sz val="10"/>
        <color rgb="FFFF0000"/>
        <rFont val="Calibri"/>
        <family val="2"/>
        <scheme val="minor"/>
      </rPr>
      <t>671 km /1100km</t>
    </r>
    <r>
      <rPr>
        <b/>
        <sz val="10"/>
        <rFont val="Calibri"/>
        <family val="2"/>
        <scheme val="minor"/>
      </rPr>
      <t xml:space="preserve"> </t>
    </r>
    <r>
      <rPr>
        <sz val="10"/>
        <rFont val="Calibri"/>
        <family val="2"/>
        <scheme val="minor"/>
      </rPr>
      <t>attendu à la fin du Projet avec comme détail:
1-AGETIB: 
*</t>
    </r>
    <r>
      <rPr>
        <sz val="10"/>
        <color rgb="FFFF0000"/>
        <rFont val="Calibri"/>
        <family val="2"/>
        <scheme val="minor"/>
      </rPr>
      <t>90,62 Km pistes rurales aménagés en HIMO et réceptionné</t>
    </r>
    <r>
      <rPr>
        <sz val="10"/>
        <rFont val="Calibri"/>
        <family val="2"/>
        <scheme val="minor"/>
      </rPr>
      <t xml:space="preserve">
*63 km pistes rurales aménagés en mécanisée
</t>
    </r>
    <r>
      <rPr>
        <sz val="10"/>
        <color rgb="FFFF0000"/>
        <rFont val="Calibri"/>
        <family val="2"/>
        <scheme val="minor"/>
      </rPr>
      <t xml:space="preserve">*57,7 km </t>
    </r>
    <r>
      <rPr>
        <sz val="10"/>
        <rFont val="Calibri"/>
        <family val="2"/>
        <scheme val="minor"/>
      </rPr>
      <t xml:space="preserve">de voirie aménagées dans la commune de Fada N'Gourma
*47 km de de voirie en terre ont été réalisée dont 29 km revêtues (en pavés, BB et ES).
</t>
    </r>
    <r>
      <rPr>
        <sz val="10"/>
        <color rgb="FFFF0000"/>
        <rFont val="Calibri"/>
        <family val="2"/>
        <scheme val="minor"/>
      </rPr>
      <t xml:space="preserve">*430 km praticables grace à la construction de 36 ouvrages de fanchissement </t>
    </r>
    <r>
      <rPr>
        <sz val="10"/>
        <rFont val="Calibri"/>
        <family val="2"/>
        <scheme val="minor"/>
      </rPr>
      <t xml:space="preserve">
2-BAGREPOLE: 47,97 Km</t>
    </r>
  </si>
  <si>
    <r>
      <t>Au total 217 SVBG sont soutenous par le Projet 
*68 formations santaires doté de matériel médico technique à travers l'ONG plan Burkina
*39 espaces  surs de Plan Burkina
*27 espaces surs de OCADES
*44 services techniques provinciaux/communaux en charge du genre dans les régions d’intervention du Projet ont été doté de matériel ont été doté de des motos, matériel de bureau, mobilier de bureau, matériel COVID, fourniture de bureau et le personnel a été formé
*37 formations sanitaires normalisées et</t>
    </r>
    <r>
      <rPr>
        <sz val="10"/>
        <color rgb="FFFF0000"/>
        <rFont val="Calibri"/>
        <family val="2"/>
        <scheme val="minor"/>
      </rPr>
      <t xml:space="preserve"> 02 CSPS</t>
    </r>
    <r>
      <rPr>
        <sz val="10"/>
        <rFont val="Calibri"/>
        <family val="2"/>
        <scheme val="minor"/>
      </rPr>
      <t xml:space="preserve"> construit doté d'équiement et matériel médico technique
</t>
    </r>
  </si>
  <si>
    <r>
      <rPr>
        <b/>
        <sz val="10"/>
        <rFont val="Calibri"/>
        <family val="2"/>
        <scheme val="minor"/>
      </rPr>
      <t>1-AGETIB</t>
    </r>
    <r>
      <rPr>
        <sz val="10"/>
        <rFont val="Calibri"/>
        <family val="2"/>
        <scheme val="minor"/>
      </rPr>
      <t xml:space="preserve">
*Assainissement Fada : 124 ouvriers employé pour les travaux HIMO
*Aménagement de pistes rurales HIMO : 3941 emplois temporaire créés dont 2480 femmes
*Travaux de pavage de voirie à Fada N'Gourma: 770 ouvriers </t>
    </r>
    <r>
      <rPr>
        <b/>
        <sz val="10"/>
        <rFont val="Calibri"/>
        <family val="2"/>
        <scheme val="minor"/>
      </rPr>
      <t xml:space="preserve">employés
2-UCP
</t>
    </r>
    <r>
      <rPr>
        <sz val="10"/>
        <rFont val="Calibri"/>
        <family val="2"/>
        <scheme val="minor"/>
      </rPr>
      <t>*Curage de caniveau 2023: 
Boucle Mouhoun: 800 emplois créées dont 576 hommes et 224 femmes avec 270 PDI dont 102 femmes
Est: 140 emploi créés dont 40 femmes et 60 PDI dont 20 femmes
*Curage de caniveau 2024
Centre Ouest: 700 emplois créés avec 182 femmes et 55 PDI dont 15 Femmes
Centre Est: 440 emplois créées dont 313 femmes et 30 PDI dont 25 femmes
*Travaux de normalisation: 3105 ouvriers employés +30 ouvriers à la date du 20/11/2024</t>
    </r>
  </si>
  <si>
    <t>RAS
Les communes de Dédougou, Koudougou Réo et Yaba disposent de leurs projets de rapport de PCD/ Validation des projets de rapports de PCD au plus tard le 20/12/2024
Celui de Diapangou accuse un retard et la validation du projet de rapport PCD est attendu au plus tard le 23/12/2024
*Concernant les schémas directeurs: observations de la banque sur la durée de la prestation des consultant (réduire à 150 au lieu de 180) a été pris en compte et renvoyé à la Banque  le 27/11/ 24 et en attente de l'ANO</t>
  </si>
  <si>
    <t>41251 enfants ont bénéficiés de la distribution de LNS</t>
  </si>
  <si>
    <t>Niveau de l'indicateur au 17 décembre  2024</t>
  </si>
  <si>
    <t>Evoluation du niveau de l'indicateur à la date du 17/12/2024</t>
  </si>
  <si>
    <r>
      <rPr>
        <b/>
        <u/>
        <sz val="10"/>
        <rFont val="Calibri"/>
        <family val="2"/>
        <scheme val="minor"/>
      </rPr>
      <t xml:space="preserve">
Infrastructures scolaires</t>
    </r>
    <r>
      <rPr>
        <b/>
        <sz val="10"/>
        <color rgb="FFFF0000"/>
        <rFont val="Calibri"/>
        <family val="2"/>
        <scheme val="minor"/>
      </rPr>
      <t xml:space="preserve"> (164 structures scolaire normalisées avec 513 salles de classes au total):</t>
    </r>
    <r>
      <rPr>
        <sz val="10"/>
        <rFont val="Calibri"/>
        <family val="2"/>
        <scheme val="minor"/>
      </rPr>
      <t xml:space="preserve">
2022: 39 structures scolaires ((147 salles de classe construites, 02 blocs pédagogiques, 03 bâtiments administratifs) et 08 achevés par la suite dans 02 structures)
2023: 118 structures scolaires (313 salles de classes, 04 bâtiments administratifs)
</t>
    </r>
    <r>
      <rPr>
        <sz val="10"/>
        <color rgb="FFFF0000"/>
        <rFont val="Calibri"/>
        <family val="2"/>
        <scheme val="minor"/>
      </rPr>
      <t xml:space="preserve">2024: 90 salles de classe contruites dans </t>
    </r>
    <r>
      <rPr>
        <b/>
        <sz val="10"/>
        <color rgb="FFFF0000"/>
        <rFont val="Calibri"/>
        <family val="2"/>
        <scheme val="minor"/>
      </rPr>
      <t xml:space="preserve">20 </t>
    </r>
    <r>
      <rPr>
        <sz val="10"/>
        <color rgb="FFFF0000"/>
        <rFont val="Calibri"/>
        <family val="2"/>
        <scheme val="minor"/>
      </rPr>
      <t>structures de la 2ème extension du Projet</t>
    </r>
    <r>
      <rPr>
        <sz val="10"/>
        <rFont val="Calibri"/>
        <family val="2"/>
        <scheme val="minor"/>
      </rPr>
      <t xml:space="preserve">
</t>
    </r>
    <r>
      <rPr>
        <b/>
        <u/>
        <sz val="10"/>
        <rFont val="Calibri"/>
        <family val="2"/>
        <scheme val="minor"/>
      </rPr>
      <t>Infrastrutures sanitaires:</t>
    </r>
    <r>
      <rPr>
        <sz val="10"/>
        <rFont val="Calibri"/>
        <family val="2"/>
        <scheme val="minor"/>
      </rPr>
      <t xml:space="preserve"> 
2022: 12 formations sanitaires normalisées/réhabilitées
2023: 25 formations sanitaires normalisées /réhabilitées/construites
2024: 01 CSPS construit à Fada N'Gourma et 01 CSPS construit à Bougui </t>
    </r>
    <r>
      <rPr>
        <sz val="10"/>
        <color rgb="FFFF0000"/>
        <rFont val="Calibri"/>
        <family val="2"/>
        <scheme val="minor"/>
      </rPr>
      <t xml:space="preserve">(équipé en fin novembre non encore fonctionnel)
</t>
    </r>
    <r>
      <rPr>
        <b/>
        <sz val="10"/>
        <color rgb="FFFF0000"/>
        <rFont val="Calibri"/>
        <family val="2"/>
        <scheme val="minor"/>
      </rPr>
      <t xml:space="preserve"> 10 CSPS normalisés </t>
    </r>
    <r>
      <rPr>
        <sz val="10"/>
        <rFont val="Calibri"/>
        <family val="2"/>
        <scheme val="minor"/>
      </rPr>
      <t xml:space="preserve">
 </t>
    </r>
  </si>
  <si>
    <r>
      <rPr>
        <b/>
        <u/>
        <sz val="10"/>
        <rFont val="Calibri"/>
        <family val="2"/>
        <scheme val="minor"/>
      </rPr>
      <t>200 infrastructures d'eau potable réalisées</t>
    </r>
    <r>
      <rPr>
        <sz val="10"/>
        <rFont val="Calibri"/>
        <family val="2"/>
        <scheme val="minor"/>
      </rPr>
      <t xml:space="preserve">: 
*phase 1: 47 infrastructure d'eau potable réalisées
 (43 forages + 02 forages PMH sur site PDI de Bomborokuy + 02 forages PMH sur site PDI de Dédougou)
*phase 2: 73 infrastuctures d'eau potable réalisées
 (54 PEA et 19 forages réalisés par AGETEER) 
*80 infrastructures d'eau potable réalisées dans le cadre des travaux:
  AGETIB: 62 infrastructures d'au potable (5 forages équipés en PEA réalisés dans le cadre de l'assainissement de la ville de Fada N'Gourma et 7 forages équipés en PEA réalisés dans le cadre des travaux de 200 Km de pistes,12  forages positifs équipés en PEA dans le cadre des 155 km de piste et 38 PMH positifs réalisés dans le cadre des 36 ouvrages d’affranchissement) 
   Bagrépole: 18 forages réalisés dans le cadre des travaux 
</t>
    </r>
  </si>
  <si>
    <r>
      <t>*Poursuivre l'acquistion et la distribution de la farine infantile à</t>
    </r>
    <r>
      <rPr>
        <sz val="10"/>
        <color rgb="FFFF0000"/>
        <rFont val="Calibri"/>
        <family val="2"/>
        <scheme val="minor"/>
      </rPr>
      <t xml:space="preserve"> 736 581</t>
    </r>
    <r>
      <rPr>
        <sz val="10"/>
        <rFont val="Calibri"/>
        <family val="2"/>
        <scheme val="minor"/>
      </rPr>
      <t xml:space="preserve">  enfants de 06 à 23 mois
*Pousuivre l'acquisition de matériel médico technique pour les formations sanitaires
*Poursuivre les travaux de normalisation / réhabilitation et construction des formations sanitaires
</t>
    </r>
  </si>
  <si>
    <t xml:space="preserve">RAS
Réunion du 17/12/024 information recu de Nassé  117 salles construites avec 90 réceptionnées dans 20 structures 
Faire le point volet santé normalisation : 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</si>
</sst>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1"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b/>
      <u/>
      <sz val="10"/>
      <name val="Calibri"/>
      <family val="2"/>
      <scheme val="minor"/>
    </font>
    <font>
      <b/>
      <sz val="10"/>
      <color rgb="FF0070C0"/>
      <name val="Calibri"/>
      <family val="2"/>
      <scheme val="minor"/>
    </font>
    <font>
      <sz val="10"/>
      <color rgb="FFFF0000"/>
      <name val="Calibri"/>
      <family val="2"/>
      <scheme val="minor"/>
    </font>
    <font>
      <b/>
      <sz val="10"/>
      <color rgb="FFFF0000"/>
      <name val="Calibri"/>
      <family val="2"/>
      <scheme val="minor"/>
    </font>
    <font>
      <sz val="9"/>
      <color indexed="81"/>
      <name val="Tahoma"/>
      <family val="2"/>
    </font>
    <font>
      <b/>
      <sz val="9"/>
      <color indexed="81"/>
      <name val="Tahoma"/>
      <family val="2"/>
    </font>
    <font>
      <sz val="10"/>
      <color rgb="FFFF0000"/>
      <name val="Calibri"/>
      <family val="2"/>
    </font>
  </fonts>
  <fills count="7">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rgb="FFF7F7F7"/>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79">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center" vertical="center"/>
    </xf>
    <xf numFmtId="0" fontId="2" fillId="4"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0" borderId="1"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2" fillId="2" borderId="1" xfId="0" applyFont="1" applyFill="1" applyBorder="1" applyAlignment="1">
      <alignment vertical="center"/>
    </xf>
    <xf numFmtId="0" fontId="2" fillId="0" borderId="1" xfId="0" applyFont="1" applyBorder="1" applyAlignment="1">
      <alignment horizontal="center" vertical="center" wrapText="1"/>
    </xf>
    <xf numFmtId="164" fontId="2" fillId="0" borderId="1" xfId="1" applyNumberFormat="1" applyFont="1" applyBorder="1" applyAlignment="1">
      <alignment horizontal="center" vertical="center" wrapText="1"/>
    </xf>
    <xf numFmtId="0" fontId="3" fillId="0" borderId="1" xfId="0" applyFont="1" applyBorder="1" applyAlignment="1">
      <alignment vertical="center" wrapText="1"/>
    </xf>
    <xf numFmtId="3" fontId="2" fillId="0" borderId="1" xfId="0" applyNumberFormat="1" applyFont="1" applyBorder="1" applyAlignment="1">
      <alignment vertical="center"/>
    </xf>
    <xf numFmtId="0" fontId="2" fillId="4" borderId="1" xfId="0" applyFont="1" applyFill="1" applyBorder="1" applyAlignment="1">
      <alignment vertical="center" wrapText="1"/>
    </xf>
    <xf numFmtId="0" fontId="2" fillId="0" borderId="1" xfId="0" applyFont="1" applyBorder="1" applyAlignment="1">
      <alignment horizontal="left" vertical="center" wrapText="1"/>
    </xf>
    <xf numFmtId="3" fontId="3" fillId="0" borderId="1" xfId="0" applyNumberFormat="1" applyFont="1" applyBorder="1" applyAlignment="1">
      <alignment vertical="center"/>
    </xf>
    <xf numFmtId="0" fontId="2" fillId="2" borderId="1" xfId="0" applyFont="1" applyFill="1" applyBorder="1" applyAlignment="1">
      <alignment vertical="center" wrapText="1"/>
    </xf>
    <xf numFmtId="0" fontId="2" fillId="4" borderId="1" xfId="0" applyFont="1" applyFill="1" applyBorder="1" applyAlignment="1">
      <alignment vertical="center"/>
    </xf>
    <xf numFmtId="164" fontId="3" fillId="0" borderId="1" xfId="1" applyNumberFormat="1" applyFont="1" applyBorder="1" applyAlignment="1">
      <alignment horizontal="center" vertical="center" wrapText="1"/>
    </xf>
    <xf numFmtId="164" fontId="3" fillId="0" borderId="1" xfId="1" applyNumberFormat="1" applyFont="1" applyBorder="1" applyAlignment="1">
      <alignment vertical="center" wrapText="1"/>
    </xf>
    <xf numFmtId="0" fontId="2" fillId="3" borderId="1" xfId="0" applyFont="1" applyFill="1" applyBorder="1" applyAlignment="1">
      <alignment horizontal="left" vertical="center" wrapText="1"/>
    </xf>
    <xf numFmtId="1" fontId="2" fillId="0" borderId="1" xfId="0" applyNumberFormat="1" applyFont="1" applyBorder="1" applyAlignment="1">
      <alignment vertical="center"/>
    </xf>
    <xf numFmtId="3" fontId="2" fillId="0" borderId="1" xfId="0" applyNumberFormat="1" applyFont="1" applyBorder="1" applyAlignment="1">
      <alignment horizontal="center" vertical="center" wrapText="1"/>
    </xf>
    <xf numFmtId="3" fontId="3" fillId="0" borderId="1" xfId="0" applyNumberFormat="1" applyFont="1" applyBorder="1" applyAlignment="1">
      <alignment vertical="center" wrapText="1"/>
    </xf>
    <xf numFmtId="164" fontId="2" fillId="0" borderId="1" xfId="0" applyNumberFormat="1" applyFont="1" applyBorder="1" applyAlignment="1">
      <alignment vertical="center"/>
    </xf>
    <xf numFmtId="0" fontId="2" fillId="3" borderId="1" xfId="0" applyFont="1" applyFill="1" applyBorder="1" applyAlignment="1">
      <alignment vertical="center"/>
    </xf>
    <xf numFmtId="164" fontId="3" fillId="0" borderId="1"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1" xfId="0" applyNumberFormat="1" applyFont="1" applyBorder="1" applyAlignment="1">
      <alignment horizontal="right" vertical="center"/>
    </xf>
    <xf numFmtId="0" fontId="2" fillId="0" borderId="1" xfId="0" applyFont="1" applyBorder="1" applyAlignment="1">
      <alignment horizontal="left"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2" fillId="0" borderId="2" xfId="0" applyFont="1" applyBorder="1" applyAlignment="1">
      <alignment vertical="center" wrapText="1"/>
    </xf>
    <xf numFmtId="17" fontId="2" fillId="0" borderId="0" xfId="0" applyNumberFormat="1" applyFont="1" applyAlignment="1">
      <alignment horizontal="center" vertical="center"/>
    </xf>
    <xf numFmtId="17" fontId="3" fillId="0" borderId="0" xfId="0" applyNumberFormat="1" applyFont="1" applyAlignment="1">
      <alignment vertical="center"/>
    </xf>
    <xf numFmtId="0" fontId="2" fillId="5" borderId="1" xfId="0" applyFont="1" applyFill="1" applyBorder="1" applyAlignment="1">
      <alignment horizontal="center" vertical="center" wrapText="1"/>
    </xf>
    <xf numFmtId="3" fontId="2" fillId="0" borderId="1" xfId="0" applyNumberFormat="1" applyFont="1" applyBorder="1" applyAlignment="1">
      <alignment vertical="center" wrapText="1"/>
    </xf>
    <xf numFmtId="164" fontId="3" fillId="0" borderId="1" xfId="1" applyNumberFormat="1" applyFont="1" applyFill="1" applyBorder="1" applyAlignment="1">
      <alignment vertical="center" wrapText="1"/>
    </xf>
    <xf numFmtId="1" fontId="3" fillId="0" borderId="1" xfId="0" applyNumberFormat="1" applyFont="1" applyBorder="1" applyAlignment="1">
      <alignment vertical="center" wrapText="1"/>
    </xf>
    <xf numFmtId="2" fontId="3" fillId="0" borderId="1" xfId="0" applyNumberFormat="1" applyFont="1" applyBorder="1" applyAlignment="1">
      <alignment vertical="center" wrapText="1"/>
    </xf>
    <xf numFmtId="0" fontId="3" fillId="0" borderId="3" xfId="0" applyFont="1" applyBorder="1" applyAlignment="1">
      <alignment horizontal="center" vertical="center"/>
    </xf>
    <xf numFmtId="0" fontId="2" fillId="2" borderId="3" xfId="0" applyFont="1" applyFill="1" applyBorder="1" applyAlignment="1">
      <alignment horizontal="left" vertical="center" wrapText="1"/>
    </xf>
    <xf numFmtId="0" fontId="2" fillId="3" borderId="3" xfId="0" applyFont="1" applyFill="1" applyBorder="1" applyAlignment="1">
      <alignment horizontal="left" vertical="center"/>
    </xf>
    <xf numFmtId="0" fontId="2" fillId="4" borderId="3" xfId="0" applyFont="1" applyFill="1" applyBorder="1" applyAlignment="1">
      <alignment horizontal="left" vertical="center" wrapText="1"/>
    </xf>
    <xf numFmtId="3" fontId="2" fillId="0" borderId="0" xfId="0" applyNumberFormat="1" applyFont="1" applyAlignment="1">
      <alignment vertical="center"/>
    </xf>
    <xf numFmtId="0" fontId="3" fillId="5" borderId="1" xfId="0" applyFont="1" applyFill="1" applyBorder="1" applyAlignment="1">
      <alignment vertical="center" wrapText="1"/>
    </xf>
    <xf numFmtId="164" fontId="2" fillId="0" borderId="1" xfId="1" applyNumberFormat="1" applyFont="1" applyBorder="1" applyAlignment="1">
      <alignment horizontal="left" vertical="center" wrapText="1"/>
    </xf>
    <xf numFmtId="3" fontId="6"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xf>
    <xf numFmtId="3" fontId="5" fillId="0" borderId="0" xfId="0" applyNumberFormat="1" applyFont="1" applyAlignment="1">
      <alignment vertical="center" wrapText="1"/>
    </xf>
    <xf numFmtId="3" fontId="2" fillId="0" borderId="0" xfId="0" applyNumberFormat="1" applyFont="1" applyAlignment="1">
      <alignment vertical="center" wrapText="1"/>
    </xf>
    <xf numFmtId="3" fontId="7" fillId="0" borderId="1" xfId="0" applyNumberFormat="1" applyFont="1" applyBorder="1" applyAlignment="1">
      <alignment vertical="center" wrapText="1"/>
    </xf>
    <xf numFmtId="0" fontId="7" fillId="0" borderId="1" xfId="0" applyFont="1" applyBorder="1" applyAlignment="1">
      <alignment vertical="center" wrapText="1"/>
    </xf>
    <xf numFmtId="164" fontId="6" fillId="0" borderId="1" xfId="0" applyNumberFormat="1" applyFont="1" applyBorder="1" applyAlignment="1">
      <alignment horizontal="center" vertical="center"/>
    </xf>
    <xf numFmtId="0" fontId="10" fillId="0" borderId="6" xfId="0" applyFont="1" applyBorder="1" applyAlignment="1">
      <alignment vertical="center" wrapText="1"/>
    </xf>
    <xf numFmtId="0" fontId="2" fillId="6" borderId="1" xfId="0" applyFont="1" applyFill="1" applyBorder="1" applyAlignment="1">
      <alignment vertical="center" wrapText="1"/>
    </xf>
    <xf numFmtId="0" fontId="3" fillId="5" borderId="1"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3" fillId="5"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3" fillId="0" borderId="1" xfId="0" applyFont="1" applyBorder="1" applyAlignment="1">
      <alignment horizontal="center" vertical="center" wrapText="1"/>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9645F-C361-4FFD-AE2F-8831ADD9C9AF}">
  <dimension ref="A1:S66"/>
  <sheetViews>
    <sheetView tabSelected="1" topLeftCell="B1" zoomScaleNormal="100" zoomScaleSheetLayoutView="90" workbookViewId="0">
      <selection activeCell="K53" sqref="K53"/>
    </sheetView>
  </sheetViews>
  <sheetFormatPr baseColWidth="10" defaultColWidth="11.5546875" defaultRowHeight="13.8" x14ac:dyDescent="0.3"/>
  <cols>
    <col min="1" max="1" width="3" style="1" bestFit="1" customWidth="1"/>
    <col min="2" max="2" width="27.5546875" style="4" customWidth="1"/>
    <col min="3" max="3" width="8.21875" style="1" hidden="1" customWidth="1"/>
    <col min="4" max="4" width="8.44140625" style="2" customWidth="1"/>
    <col min="5" max="5" width="10.33203125" style="1" hidden="1" customWidth="1"/>
    <col min="6" max="6" width="9.33203125" style="1" customWidth="1"/>
    <col min="7" max="7" width="9.5546875" style="3" customWidth="1"/>
    <col min="8" max="8" width="9.88671875" style="4" customWidth="1"/>
    <col min="9" max="9" width="11.33203125" style="4" customWidth="1"/>
    <col min="10" max="10" width="42.77734375" style="1" customWidth="1"/>
    <col min="11" max="11" width="52.6640625" style="5" customWidth="1"/>
    <col min="12" max="12" width="15.88671875" style="5" customWidth="1"/>
    <col min="13" max="13" width="13" style="5" customWidth="1"/>
    <col min="14" max="14" width="13.88671875" style="5" customWidth="1"/>
    <col min="15" max="15" width="22.21875" style="4" customWidth="1"/>
    <col min="16" max="16" width="11.5546875" style="4" customWidth="1"/>
    <col min="17" max="16384" width="11.5546875" style="4"/>
  </cols>
  <sheetData>
    <row r="1" spans="1:16" x14ac:dyDescent="0.3">
      <c r="B1" s="3"/>
      <c r="K1" s="2" t="s">
        <v>0</v>
      </c>
      <c r="L1" s="2"/>
      <c r="M1" s="1"/>
    </row>
    <row r="2" spans="1:16" ht="41.4" x14ac:dyDescent="0.3">
      <c r="B2" s="3"/>
      <c r="C2" s="38"/>
      <c r="D2" s="37"/>
      <c r="E2" s="37"/>
      <c r="K2" s="48"/>
      <c r="L2" s="7" t="s">
        <v>1</v>
      </c>
      <c r="M2" s="7" t="s">
        <v>2</v>
      </c>
    </row>
    <row r="3" spans="1:16" x14ac:dyDescent="0.3">
      <c r="K3" s="49" t="s">
        <v>95</v>
      </c>
      <c r="L3" s="6">
        <v>4</v>
      </c>
      <c r="M3" s="6">
        <v>11</v>
      </c>
    </row>
    <row r="4" spans="1:16" x14ac:dyDescent="0.3">
      <c r="K4" s="50" t="s">
        <v>96</v>
      </c>
      <c r="L4" s="6">
        <v>0</v>
      </c>
      <c r="M4" s="6">
        <v>2</v>
      </c>
    </row>
    <row r="5" spans="1:16" x14ac:dyDescent="0.3">
      <c r="K5" s="51" t="s">
        <v>97</v>
      </c>
      <c r="L5" s="6">
        <v>2</v>
      </c>
      <c r="M5" s="6">
        <v>5</v>
      </c>
    </row>
    <row r="7" spans="1:16" x14ac:dyDescent="0.3">
      <c r="A7" s="9"/>
      <c r="B7" s="68" t="s">
        <v>3</v>
      </c>
      <c r="C7" s="68"/>
      <c r="D7" s="68"/>
      <c r="E7" s="68"/>
      <c r="F7" s="68"/>
      <c r="G7" s="68"/>
      <c r="H7" s="68"/>
      <c r="I7" s="68"/>
      <c r="J7" s="68"/>
      <c r="K7" s="68"/>
      <c r="L7" s="68"/>
      <c r="M7" s="68"/>
      <c r="N7" s="68"/>
    </row>
    <row r="8" spans="1:16" x14ac:dyDescent="0.3">
      <c r="A8" s="9"/>
      <c r="B8" s="68" t="s">
        <v>4</v>
      </c>
      <c r="C8" s="68"/>
      <c r="D8" s="68"/>
      <c r="E8" s="68"/>
      <c r="F8" s="68"/>
      <c r="G8" s="68"/>
      <c r="H8" s="68"/>
      <c r="I8" s="68"/>
      <c r="J8" s="68"/>
      <c r="K8" s="68"/>
      <c r="L8" s="68"/>
      <c r="M8" s="68"/>
      <c r="N8" s="68"/>
    </row>
    <row r="9" spans="1:16" x14ac:dyDescent="0.3">
      <c r="A9" s="9"/>
      <c r="B9" s="68" t="s">
        <v>5</v>
      </c>
      <c r="C9" s="68"/>
      <c r="D9" s="68"/>
      <c r="E9" s="68"/>
      <c r="F9" s="68"/>
      <c r="G9" s="68"/>
      <c r="H9" s="68"/>
      <c r="I9" s="68"/>
      <c r="J9" s="68"/>
      <c r="K9" s="68"/>
      <c r="L9" s="68"/>
      <c r="M9" s="68"/>
      <c r="N9" s="68"/>
    </row>
    <row r="10" spans="1:16" ht="46.2" customHeight="1" x14ac:dyDescent="0.3">
      <c r="A10" s="9"/>
      <c r="B10" s="68" t="s">
        <v>6</v>
      </c>
      <c r="C10" s="68"/>
      <c r="D10" s="68"/>
      <c r="E10" s="68"/>
      <c r="F10" s="68"/>
      <c r="G10" s="68"/>
      <c r="H10" s="68"/>
      <c r="I10" s="68"/>
      <c r="J10" s="68"/>
      <c r="K10" s="68"/>
      <c r="L10" s="68"/>
      <c r="M10" s="68"/>
      <c r="N10" s="68"/>
    </row>
    <row r="11" spans="1:16" x14ac:dyDescent="0.3">
      <c r="A11" s="9"/>
      <c r="B11" s="68" t="s">
        <v>7</v>
      </c>
      <c r="C11" s="68"/>
      <c r="D11" s="68"/>
      <c r="E11" s="68"/>
      <c r="F11" s="68"/>
      <c r="G11" s="68"/>
      <c r="H11" s="68"/>
      <c r="I11" s="68"/>
      <c r="J11" s="68"/>
      <c r="K11" s="68"/>
      <c r="L11" s="68"/>
      <c r="M11" s="68"/>
      <c r="N11" s="68"/>
      <c r="P11" s="38"/>
    </row>
    <row r="12" spans="1:16" ht="7.2" customHeight="1" x14ac:dyDescent="0.3">
      <c r="A12" s="9"/>
      <c r="B12" s="12"/>
      <c r="C12" s="9"/>
      <c r="D12" s="6"/>
      <c r="E12" s="9"/>
      <c r="F12" s="9"/>
      <c r="G12" s="12"/>
      <c r="H12" s="13"/>
      <c r="I12" s="13"/>
      <c r="J12" s="9"/>
      <c r="K12" s="14"/>
      <c r="L12" s="14"/>
      <c r="M12" s="14"/>
      <c r="N12" s="14"/>
    </row>
    <row r="13" spans="1:16" ht="19.8" customHeight="1" x14ac:dyDescent="0.3">
      <c r="A13" s="78" t="s">
        <v>8</v>
      </c>
      <c r="B13" s="71" t="s">
        <v>9</v>
      </c>
      <c r="C13" s="76" t="s">
        <v>10</v>
      </c>
      <c r="D13" s="68" t="s">
        <v>11</v>
      </c>
      <c r="E13" s="68" t="s">
        <v>12</v>
      </c>
      <c r="F13" s="68" t="s">
        <v>13</v>
      </c>
      <c r="G13" s="68" t="s">
        <v>154</v>
      </c>
      <c r="H13" s="68" t="s">
        <v>14</v>
      </c>
      <c r="I13" s="68" t="s">
        <v>15</v>
      </c>
      <c r="J13" s="69" t="s">
        <v>155</v>
      </c>
      <c r="K13" s="71" t="s">
        <v>16</v>
      </c>
      <c r="L13" s="71" t="s">
        <v>17</v>
      </c>
      <c r="M13" s="68" t="s">
        <v>18</v>
      </c>
      <c r="N13" s="68" t="s">
        <v>19</v>
      </c>
      <c r="O13" s="68" t="s">
        <v>130</v>
      </c>
    </row>
    <row r="14" spans="1:16" ht="120" customHeight="1" x14ac:dyDescent="0.3">
      <c r="A14" s="78"/>
      <c r="B14" s="71"/>
      <c r="C14" s="76"/>
      <c r="D14" s="68"/>
      <c r="E14" s="68"/>
      <c r="F14" s="68"/>
      <c r="G14" s="68"/>
      <c r="H14" s="68"/>
      <c r="I14" s="68"/>
      <c r="J14" s="70"/>
      <c r="K14" s="71"/>
      <c r="L14" s="71"/>
      <c r="M14" s="68"/>
      <c r="N14" s="68"/>
      <c r="O14" s="68"/>
    </row>
    <row r="15" spans="1:16" x14ac:dyDescent="0.3">
      <c r="A15" s="7"/>
      <c r="B15" s="68" t="s">
        <v>20</v>
      </c>
      <c r="C15" s="68"/>
      <c r="D15" s="68"/>
      <c r="E15" s="68"/>
      <c r="F15" s="68"/>
      <c r="G15" s="68"/>
      <c r="H15" s="68"/>
      <c r="I15" s="68"/>
      <c r="J15" s="68"/>
      <c r="K15" s="68"/>
      <c r="L15" s="68"/>
      <c r="M15" s="68"/>
      <c r="N15" s="68"/>
    </row>
    <row r="16" spans="1:16" x14ac:dyDescent="0.3">
      <c r="A16" s="7"/>
      <c r="B16" s="53"/>
      <c r="C16" s="43"/>
      <c r="D16" s="11"/>
      <c r="E16" s="11"/>
      <c r="F16" s="11"/>
      <c r="G16" s="11"/>
      <c r="H16" s="11"/>
      <c r="I16" s="11"/>
      <c r="J16" s="11"/>
      <c r="K16" s="11"/>
      <c r="L16" s="11"/>
      <c r="M16" s="11"/>
      <c r="N16" s="11"/>
    </row>
    <row r="17" spans="1:18" ht="276" x14ac:dyDescent="0.3">
      <c r="A17" s="15">
        <v>1</v>
      </c>
      <c r="B17" s="14" t="s">
        <v>21</v>
      </c>
      <c r="C17" s="29">
        <v>150000</v>
      </c>
      <c r="D17" s="7">
        <v>200000</v>
      </c>
      <c r="E17" s="17">
        <v>300000</v>
      </c>
      <c r="F17" s="17">
        <v>300000</v>
      </c>
      <c r="G17" s="18">
        <f>202608+50652+17752+140000+41131+90000</f>
        <v>542143</v>
      </c>
      <c r="H17" s="19">
        <f>G17-D17</f>
        <v>342143</v>
      </c>
      <c r="I17" s="19">
        <f>G17-F17</f>
        <v>242143</v>
      </c>
      <c r="J17" s="55" t="s">
        <v>145</v>
      </c>
      <c r="K17" s="44" t="s">
        <v>144</v>
      </c>
      <c r="L17" s="14" t="s">
        <v>99</v>
      </c>
      <c r="M17" s="8" t="s">
        <v>22</v>
      </c>
      <c r="N17" s="8" t="s">
        <v>23</v>
      </c>
      <c r="O17" s="16" t="s">
        <v>131</v>
      </c>
      <c r="Q17" s="52"/>
      <c r="R17" s="52"/>
    </row>
    <row r="18" spans="1:18" ht="244.2" customHeight="1" x14ac:dyDescent="0.3">
      <c r="A18" s="77">
        <v>2</v>
      </c>
      <c r="B18" s="14" t="s">
        <v>24</v>
      </c>
      <c r="C18" s="16">
        <v>70000</v>
      </c>
      <c r="D18" s="7">
        <v>100000</v>
      </c>
      <c r="E18" s="17">
        <v>150000</v>
      </c>
      <c r="F18" s="17">
        <v>300000</v>
      </c>
      <c r="G18" s="45">
        <f>(27551)+(452+717+888)+(759)+(2480)</f>
        <v>32847</v>
      </c>
      <c r="H18" s="19">
        <f>G18-D18</f>
        <v>-67153</v>
      </c>
      <c r="I18" s="19">
        <f>G18-F18</f>
        <v>-267153</v>
      </c>
      <c r="J18" s="55" t="s">
        <v>145</v>
      </c>
      <c r="K18" s="14" t="s">
        <v>117</v>
      </c>
      <c r="L18" s="44" t="s">
        <v>111</v>
      </c>
      <c r="M18" s="20" t="s">
        <v>98</v>
      </c>
      <c r="N18" s="21" t="s">
        <v>25</v>
      </c>
      <c r="O18" s="16" t="s">
        <v>132</v>
      </c>
    </row>
    <row r="19" spans="1:18" x14ac:dyDescent="0.3">
      <c r="A19" s="77"/>
      <c r="B19" s="14" t="s">
        <v>26</v>
      </c>
      <c r="C19" s="16">
        <v>21000</v>
      </c>
      <c r="D19" s="7">
        <v>30000</v>
      </c>
      <c r="E19" s="17">
        <v>45000</v>
      </c>
      <c r="F19" s="17">
        <v>90000</v>
      </c>
      <c r="G19" s="45">
        <f>(1373)+(401+562)+(0)+(162)</f>
        <v>2498</v>
      </c>
      <c r="H19" s="19">
        <f>G19-D19</f>
        <v>-27502</v>
      </c>
      <c r="I19" s="19">
        <f>G19-F19</f>
        <v>-87502</v>
      </c>
      <c r="J19" s="56"/>
      <c r="K19" s="14"/>
      <c r="L19" s="14"/>
      <c r="M19" s="14"/>
      <c r="N19" s="14"/>
    </row>
    <row r="20" spans="1:18" x14ac:dyDescent="0.3">
      <c r="A20" s="9"/>
      <c r="B20" s="68" t="s">
        <v>27</v>
      </c>
      <c r="C20" s="68"/>
      <c r="D20" s="68"/>
      <c r="E20" s="68"/>
      <c r="F20" s="68"/>
      <c r="G20" s="68"/>
      <c r="H20" s="68"/>
      <c r="I20" s="68"/>
      <c r="J20" s="68"/>
      <c r="K20" s="68"/>
      <c r="L20" s="68"/>
      <c r="M20" s="68"/>
      <c r="N20" s="68"/>
    </row>
    <row r="21" spans="1:18" ht="87.6" customHeight="1" x14ac:dyDescent="0.3">
      <c r="A21" s="23">
        <v>3</v>
      </c>
      <c r="B21" s="14" t="s">
        <v>28</v>
      </c>
      <c r="C21" s="14">
        <v>200000</v>
      </c>
      <c r="D21" s="18">
        <v>250000</v>
      </c>
      <c r="E21" s="14">
        <v>350000</v>
      </c>
      <c r="F21" s="14">
        <v>350000</v>
      </c>
      <c r="G21" s="22">
        <f>((83*10524)+(147*75)+(12060)+(140*300))+((284*75))</f>
        <v>959877</v>
      </c>
      <c r="H21" s="19">
        <f>G21-D21</f>
        <v>709877</v>
      </c>
      <c r="I21" s="19">
        <f>G21-F21</f>
        <v>609877</v>
      </c>
      <c r="J21" s="55" t="s">
        <v>145</v>
      </c>
      <c r="K21" s="14" t="s">
        <v>127</v>
      </c>
      <c r="L21" s="14" t="s">
        <v>29</v>
      </c>
      <c r="M21" s="72" t="s">
        <v>115</v>
      </c>
      <c r="N21" s="72" t="s">
        <v>30</v>
      </c>
      <c r="O21" s="16" t="s">
        <v>132</v>
      </c>
      <c r="Q21" s="5"/>
    </row>
    <row r="22" spans="1:18" ht="27.6" x14ac:dyDescent="0.3">
      <c r="A22" s="8"/>
      <c r="B22" s="14" t="s">
        <v>31</v>
      </c>
      <c r="C22" s="16">
        <v>100000</v>
      </c>
      <c r="D22" s="7">
        <v>125000</v>
      </c>
      <c r="E22" s="16">
        <v>175000</v>
      </c>
      <c r="F22" s="16">
        <v>175000</v>
      </c>
      <c r="G22" s="22">
        <f>G21*0.52</f>
        <v>499136.04000000004</v>
      </c>
      <c r="H22" s="19">
        <f>G22-D22</f>
        <v>374136.04000000004</v>
      </c>
      <c r="I22" s="19">
        <f>G22-F22</f>
        <v>324136.04000000004</v>
      </c>
      <c r="J22" s="56"/>
      <c r="K22" s="14"/>
      <c r="L22" s="14"/>
      <c r="M22" s="72"/>
      <c r="N22" s="72"/>
    </row>
    <row r="23" spans="1:18" ht="30" customHeight="1" x14ac:dyDescent="0.3">
      <c r="A23" s="8"/>
      <c r="B23" s="14" t="s">
        <v>26</v>
      </c>
      <c r="C23" s="16"/>
      <c r="D23" s="7"/>
      <c r="E23" s="16">
        <v>105000</v>
      </c>
      <c r="F23" s="16">
        <v>105000</v>
      </c>
      <c r="G23" s="22">
        <v>285000</v>
      </c>
      <c r="H23" s="19">
        <f>G23-(45000+D23)</f>
        <v>240000</v>
      </c>
      <c r="I23" s="19">
        <f>G23-F23</f>
        <v>180000</v>
      </c>
      <c r="J23" s="56"/>
      <c r="K23" s="14"/>
      <c r="L23" s="14"/>
      <c r="M23" s="72"/>
      <c r="N23" s="72"/>
    </row>
    <row r="24" spans="1:18" x14ac:dyDescent="0.3">
      <c r="A24" s="9"/>
      <c r="B24" s="68" t="s">
        <v>32</v>
      </c>
      <c r="C24" s="68"/>
      <c r="D24" s="68"/>
      <c r="E24" s="68"/>
      <c r="F24" s="68"/>
      <c r="G24" s="68"/>
      <c r="H24" s="68"/>
      <c r="I24" s="68"/>
      <c r="J24" s="68"/>
      <c r="K24" s="68"/>
      <c r="L24" s="68"/>
      <c r="M24" s="68"/>
      <c r="N24" s="68"/>
    </row>
    <row r="25" spans="1:18" ht="96.6" x14ac:dyDescent="0.3">
      <c r="A25" s="15">
        <v>4</v>
      </c>
      <c r="B25" s="14" t="s">
        <v>33</v>
      </c>
      <c r="C25" s="16">
        <v>80</v>
      </c>
      <c r="D25" s="7">
        <v>85</v>
      </c>
      <c r="E25" s="16">
        <v>90</v>
      </c>
      <c r="F25" s="16">
        <v>90</v>
      </c>
      <c r="G25" s="18">
        <v>99.4</v>
      </c>
      <c r="H25" s="19">
        <f>G25-C25</f>
        <v>19.400000000000006</v>
      </c>
      <c r="I25" s="19">
        <f>G25-F25</f>
        <v>9.4000000000000057</v>
      </c>
      <c r="J25" s="55" t="s">
        <v>145</v>
      </c>
      <c r="K25" s="14" t="s">
        <v>34</v>
      </c>
      <c r="L25" s="14" t="s">
        <v>114</v>
      </c>
      <c r="M25" s="8" t="s">
        <v>86</v>
      </c>
      <c r="N25" s="23" t="s">
        <v>35</v>
      </c>
      <c r="O25" s="16" t="s">
        <v>134</v>
      </c>
    </row>
    <row r="26" spans="1:18" x14ac:dyDescent="0.3">
      <c r="A26" s="9"/>
      <c r="B26" s="68" t="s">
        <v>36</v>
      </c>
      <c r="C26" s="68"/>
      <c r="D26" s="68"/>
      <c r="E26" s="68"/>
      <c r="F26" s="68"/>
      <c r="G26" s="68"/>
      <c r="H26" s="68"/>
      <c r="I26" s="68"/>
      <c r="J26" s="68"/>
      <c r="K26" s="68"/>
      <c r="L26" s="68"/>
      <c r="M26" s="68"/>
      <c r="N26" s="68"/>
    </row>
    <row r="27" spans="1:18" ht="234.6" x14ac:dyDescent="0.3">
      <c r="A27" s="24">
        <v>5</v>
      </c>
      <c r="B27" s="14" t="s">
        <v>37</v>
      </c>
      <c r="C27" s="16">
        <v>100</v>
      </c>
      <c r="D27" s="7">
        <v>100</v>
      </c>
      <c r="E27" s="16">
        <v>100</v>
      </c>
      <c r="F27" s="16">
        <v>100</v>
      </c>
      <c r="G27" s="18">
        <f>(3/25)*100</f>
        <v>12</v>
      </c>
      <c r="H27" s="13">
        <f>G27-D27</f>
        <v>-88</v>
      </c>
      <c r="I27" s="13">
        <f>G27-F27</f>
        <v>-88</v>
      </c>
      <c r="J27" s="66" t="s">
        <v>152</v>
      </c>
      <c r="K27" s="21" t="s">
        <v>38</v>
      </c>
      <c r="L27" s="21" t="s">
        <v>113</v>
      </c>
      <c r="M27" s="20" t="s">
        <v>39</v>
      </c>
      <c r="N27" s="20" t="s">
        <v>39</v>
      </c>
      <c r="O27" s="16" t="s">
        <v>135</v>
      </c>
    </row>
    <row r="28" spans="1:18" x14ac:dyDescent="0.3">
      <c r="A28" s="9"/>
      <c r="B28" s="68" t="s">
        <v>40</v>
      </c>
      <c r="C28" s="68"/>
      <c r="D28" s="68"/>
      <c r="E28" s="68"/>
      <c r="F28" s="68"/>
      <c r="G28" s="68"/>
      <c r="H28" s="68"/>
      <c r="I28" s="68"/>
      <c r="J28" s="68"/>
      <c r="K28" s="68"/>
      <c r="L28" s="68"/>
      <c r="M28" s="68"/>
      <c r="N28" s="68"/>
    </row>
    <row r="29" spans="1:18" ht="134.4" customHeight="1" x14ac:dyDescent="0.3">
      <c r="A29" s="75">
        <v>6</v>
      </c>
      <c r="B29" s="14" t="s">
        <v>41</v>
      </c>
      <c r="C29" s="17">
        <v>400000</v>
      </c>
      <c r="D29" s="25"/>
      <c r="E29" s="7">
        <v>0</v>
      </c>
      <c r="F29" s="54">
        <v>800000</v>
      </c>
      <c r="G29" s="45">
        <f>494771+959275</f>
        <v>1454046</v>
      </c>
      <c r="H29" s="19">
        <f>G29-D29</f>
        <v>1454046</v>
      </c>
      <c r="I29" s="19">
        <f>G29-F29</f>
        <v>654046</v>
      </c>
      <c r="J29" s="55" t="s">
        <v>145</v>
      </c>
      <c r="K29" s="14" t="s">
        <v>129</v>
      </c>
      <c r="L29" s="14"/>
      <c r="M29" s="8" t="s">
        <v>30</v>
      </c>
      <c r="N29" s="8" t="s">
        <v>30</v>
      </c>
      <c r="O29" s="21" t="s">
        <v>133</v>
      </c>
    </row>
    <row r="30" spans="1:18" x14ac:dyDescent="0.3">
      <c r="A30" s="75"/>
      <c r="B30" s="14" t="s">
        <v>42</v>
      </c>
      <c r="C30" s="17">
        <v>200000</v>
      </c>
      <c r="D30" s="25"/>
      <c r="E30" s="7">
        <v>0</v>
      </c>
      <c r="F30" s="54">
        <v>400000</v>
      </c>
      <c r="G30" s="26">
        <f>(494771*0.54)+(959275*0.54)</f>
        <v>785184.84000000008</v>
      </c>
      <c r="H30" s="19">
        <f>G30-D30</f>
        <v>785184.84000000008</v>
      </c>
      <c r="I30" s="19">
        <f>G30-F30</f>
        <v>385184.84000000008</v>
      </c>
      <c r="J30" s="56"/>
      <c r="K30" s="14"/>
      <c r="L30" s="14"/>
      <c r="M30" s="8"/>
      <c r="N30" s="8"/>
    </row>
    <row r="31" spans="1:18" ht="27.6" x14ac:dyDescent="0.3">
      <c r="A31" s="75"/>
      <c r="B31" s="14" t="s">
        <v>43</v>
      </c>
      <c r="C31" s="17">
        <v>120000</v>
      </c>
      <c r="D31" s="25"/>
      <c r="E31" s="7">
        <v>0</v>
      </c>
      <c r="F31" s="54">
        <v>240000</v>
      </c>
      <c r="G31" s="26">
        <f>(494771*0.86)+(959275*0.62)</f>
        <v>1020253.56</v>
      </c>
      <c r="H31" s="19">
        <f>G31-D31</f>
        <v>1020253.56</v>
      </c>
      <c r="I31" s="19">
        <f>G31-F31</f>
        <v>780253.56</v>
      </c>
      <c r="J31" s="56"/>
      <c r="K31" s="14"/>
      <c r="L31" s="14"/>
      <c r="M31" s="8"/>
      <c r="N31" s="8"/>
    </row>
    <row r="32" spans="1:18" x14ac:dyDescent="0.3">
      <c r="A32" s="9"/>
      <c r="B32" s="68" t="s">
        <v>44</v>
      </c>
      <c r="C32" s="68"/>
      <c r="D32" s="68"/>
      <c r="E32" s="68"/>
      <c r="F32" s="68"/>
      <c r="G32" s="68"/>
      <c r="H32" s="68"/>
      <c r="I32" s="68"/>
      <c r="J32" s="68"/>
      <c r="K32" s="68"/>
      <c r="L32" s="68"/>
      <c r="M32" s="68"/>
      <c r="N32" s="68"/>
    </row>
    <row r="33" spans="1:19" x14ac:dyDescent="0.3">
      <c r="A33" s="9"/>
      <c r="B33" s="12"/>
      <c r="C33" s="9"/>
      <c r="D33" s="6"/>
      <c r="E33" s="9"/>
      <c r="F33" s="9"/>
      <c r="G33" s="12"/>
      <c r="H33" s="13"/>
      <c r="I33" s="13"/>
      <c r="J33" s="9"/>
      <c r="K33" s="14"/>
      <c r="L33" s="14"/>
      <c r="M33" s="14"/>
      <c r="N33" s="14"/>
    </row>
    <row r="34" spans="1:19" ht="14.4" customHeight="1" x14ac:dyDescent="0.3">
      <c r="A34" s="9"/>
      <c r="B34" s="71" t="s">
        <v>9</v>
      </c>
      <c r="C34" s="76" t="s">
        <v>10</v>
      </c>
      <c r="D34" s="68" t="s">
        <v>11</v>
      </c>
      <c r="E34" s="68" t="s">
        <v>12</v>
      </c>
      <c r="F34" s="68" t="s">
        <v>45</v>
      </c>
      <c r="G34" s="68" t="s">
        <v>154</v>
      </c>
      <c r="H34" s="68" t="s">
        <v>14</v>
      </c>
      <c r="I34" s="68" t="s">
        <v>15</v>
      </c>
      <c r="J34" s="69" t="s">
        <v>155</v>
      </c>
      <c r="K34" s="71" t="s">
        <v>16</v>
      </c>
      <c r="L34" s="71" t="s">
        <v>46</v>
      </c>
      <c r="M34" s="71" t="s">
        <v>18</v>
      </c>
      <c r="N34" s="71" t="s">
        <v>19</v>
      </c>
    </row>
    <row r="35" spans="1:19" ht="46.2" customHeight="1" x14ac:dyDescent="0.3">
      <c r="A35" s="9"/>
      <c r="B35" s="71"/>
      <c r="C35" s="76"/>
      <c r="D35" s="68"/>
      <c r="E35" s="68"/>
      <c r="F35" s="68"/>
      <c r="G35" s="68"/>
      <c r="H35" s="68"/>
      <c r="I35" s="68"/>
      <c r="J35" s="70"/>
      <c r="K35" s="71"/>
      <c r="L35" s="71"/>
      <c r="M35" s="71"/>
      <c r="N35" s="71"/>
    </row>
    <row r="36" spans="1:19" x14ac:dyDescent="0.3">
      <c r="A36" s="9"/>
      <c r="B36" s="68" t="s">
        <v>47</v>
      </c>
      <c r="C36" s="68"/>
      <c r="D36" s="68"/>
      <c r="E36" s="68"/>
      <c r="F36" s="68"/>
      <c r="G36" s="68"/>
      <c r="H36" s="68"/>
      <c r="I36" s="68"/>
      <c r="J36" s="68"/>
      <c r="K36" s="68"/>
      <c r="L36" s="68"/>
      <c r="M36" s="68"/>
      <c r="N36" s="68"/>
    </row>
    <row r="37" spans="1:19" ht="255.6" customHeight="1" x14ac:dyDescent="0.3">
      <c r="A37" s="15">
        <v>1</v>
      </c>
      <c r="B37" s="67" t="s">
        <v>48</v>
      </c>
      <c r="C37" s="16">
        <v>90</v>
      </c>
      <c r="D37" s="7">
        <v>100</v>
      </c>
      <c r="E37" s="16">
        <v>105</v>
      </c>
      <c r="F37" s="16">
        <v>105</v>
      </c>
      <c r="G37" s="64">
        <f>203+15+10</f>
        <v>228</v>
      </c>
      <c r="H37" s="13">
        <f>G37-D37</f>
        <v>128</v>
      </c>
      <c r="I37" s="13">
        <f>G37-F37</f>
        <v>123</v>
      </c>
      <c r="J37" s="59" t="s">
        <v>159</v>
      </c>
      <c r="K37" s="14" t="s">
        <v>156</v>
      </c>
      <c r="L37" s="14" t="s">
        <v>118</v>
      </c>
      <c r="M37" s="8" t="s">
        <v>30</v>
      </c>
      <c r="N37" s="8" t="s">
        <v>30</v>
      </c>
      <c r="O37" s="16" t="s">
        <v>131</v>
      </c>
    </row>
    <row r="38" spans="1:19" ht="206.4" customHeight="1" x14ac:dyDescent="0.3">
      <c r="A38" s="8">
        <v>2</v>
      </c>
      <c r="B38" s="67" t="s">
        <v>49</v>
      </c>
      <c r="C38" s="16">
        <v>135</v>
      </c>
      <c r="D38" s="7">
        <v>150</v>
      </c>
      <c r="E38" s="16">
        <v>160</v>
      </c>
      <c r="F38" s="16">
        <v>160</v>
      </c>
      <c r="G38" s="18">
        <f>47+73+80</f>
        <v>200</v>
      </c>
      <c r="H38" s="13">
        <f>G38-D38</f>
        <v>50</v>
      </c>
      <c r="I38" s="13">
        <f t="shared" ref="I38:I46" si="0">G38-F38</f>
        <v>40</v>
      </c>
      <c r="J38" s="58"/>
      <c r="K38" s="14" t="s">
        <v>157</v>
      </c>
      <c r="L38" s="14" t="s">
        <v>116</v>
      </c>
      <c r="M38" s="8" t="s">
        <v>30</v>
      </c>
      <c r="N38" s="8" t="s">
        <v>30</v>
      </c>
      <c r="O38" s="16" t="s">
        <v>131</v>
      </c>
      <c r="P38" s="5"/>
    </row>
    <row r="39" spans="1:19" ht="163.80000000000001" customHeight="1" x14ac:dyDescent="0.3">
      <c r="A39" s="15">
        <v>3</v>
      </c>
      <c r="B39" s="14" t="s">
        <v>51</v>
      </c>
      <c r="C39" s="16">
        <v>90</v>
      </c>
      <c r="D39" s="7">
        <v>95</v>
      </c>
      <c r="E39" s="16">
        <v>100</v>
      </c>
      <c r="F39" s="16">
        <v>100</v>
      </c>
      <c r="G39" s="46">
        <f>((68+39+27+44+39)/(359-130))*100</f>
        <v>94.75982532751091</v>
      </c>
      <c r="H39" s="28">
        <f>G39-D39</f>
        <v>-0.24017467248908986</v>
      </c>
      <c r="I39" s="28">
        <f t="shared" si="0"/>
        <v>-5.2401746724890899</v>
      </c>
      <c r="J39" s="58" t="s">
        <v>145</v>
      </c>
      <c r="K39" s="14" t="s">
        <v>150</v>
      </c>
      <c r="L39" s="14" t="s">
        <v>100</v>
      </c>
      <c r="M39" s="8" t="s">
        <v>30</v>
      </c>
      <c r="N39" s="8" t="s">
        <v>124</v>
      </c>
      <c r="O39" s="16" t="s">
        <v>136</v>
      </c>
    </row>
    <row r="40" spans="1:19" ht="135" customHeight="1" x14ac:dyDescent="0.3">
      <c r="A40" s="8">
        <v>4</v>
      </c>
      <c r="B40" s="67" t="s">
        <v>52</v>
      </c>
      <c r="C40" s="29">
        <v>50000</v>
      </c>
      <c r="D40" s="7">
        <v>100000</v>
      </c>
      <c r="E40" s="29">
        <v>200000</v>
      </c>
      <c r="F40" s="29">
        <v>200000</v>
      </c>
      <c r="G40" s="63">
        <f>((68+13)*10524)+41251</f>
        <v>893695</v>
      </c>
      <c r="H40" s="19">
        <f>G40-D40</f>
        <v>793695</v>
      </c>
      <c r="I40" s="19">
        <f t="shared" si="0"/>
        <v>693695</v>
      </c>
      <c r="J40" s="55" t="s">
        <v>153</v>
      </c>
      <c r="K40" s="14" t="s">
        <v>125</v>
      </c>
      <c r="L40" s="14" t="s">
        <v>158</v>
      </c>
      <c r="M40" s="73" t="s">
        <v>70</v>
      </c>
      <c r="N40" s="73" t="s">
        <v>30</v>
      </c>
      <c r="O40" s="16" t="s">
        <v>137</v>
      </c>
      <c r="Q40" s="5"/>
    </row>
    <row r="41" spans="1:19" x14ac:dyDescent="0.3">
      <c r="A41" s="75"/>
      <c r="B41" s="14" t="s">
        <v>53</v>
      </c>
      <c r="C41" s="16"/>
      <c r="D41" s="7"/>
      <c r="E41" s="16">
        <v>100000</v>
      </c>
      <c r="F41" s="16">
        <v>100000</v>
      </c>
      <c r="G41" s="30">
        <f>G40*0.52</f>
        <v>464721.4</v>
      </c>
      <c r="H41" s="19">
        <f>G41-D41</f>
        <v>464721.4</v>
      </c>
      <c r="I41" s="19">
        <f t="shared" si="0"/>
        <v>364721.4</v>
      </c>
      <c r="J41" s="56"/>
      <c r="K41" s="14"/>
      <c r="L41" s="14"/>
      <c r="M41" s="73"/>
      <c r="N41" s="73"/>
      <c r="Q41" s="52"/>
    </row>
    <row r="42" spans="1:19" ht="27.6" x14ac:dyDescent="0.3">
      <c r="A42" s="75"/>
      <c r="B42" s="14" t="s">
        <v>54</v>
      </c>
      <c r="C42" s="16"/>
      <c r="D42" s="7"/>
      <c r="E42" s="16">
        <v>25000</v>
      </c>
      <c r="F42" s="16">
        <v>25000</v>
      </c>
      <c r="G42" s="63">
        <f>104465+41251</f>
        <v>145716</v>
      </c>
      <c r="H42" s="19">
        <f>G42-C42</f>
        <v>145716</v>
      </c>
      <c r="I42" s="19">
        <f t="shared" si="0"/>
        <v>120716</v>
      </c>
      <c r="J42" s="56"/>
      <c r="K42" s="14"/>
      <c r="L42" s="14"/>
      <c r="M42" s="73"/>
      <c r="N42" s="73"/>
    </row>
    <row r="43" spans="1:19" ht="41.4" x14ac:dyDescent="0.3">
      <c r="A43" s="75"/>
      <c r="B43" s="14" t="s">
        <v>55</v>
      </c>
      <c r="C43" s="16"/>
      <c r="D43" s="7"/>
      <c r="E43" s="16">
        <v>5000</v>
      </c>
      <c r="F43" s="16">
        <v>5000</v>
      </c>
      <c r="G43" s="30">
        <v>40681</v>
      </c>
      <c r="H43" s="19">
        <f>G43-C43</f>
        <v>40681</v>
      </c>
      <c r="I43" s="19">
        <f t="shared" si="0"/>
        <v>35681</v>
      </c>
      <c r="J43" s="56"/>
      <c r="K43" s="14"/>
      <c r="L43" s="14"/>
      <c r="M43" s="73"/>
      <c r="N43" s="73"/>
    </row>
    <row r="44" spans="1:19" ht="85.8" customHeight="1" x14ac:dyDescent="0.3">
      <c r="A44" s="15">
        <v>5</v>
      </c>
      <c r="B44" s="14" t="s">
        <v>56</v>
      </c>
      <c r="C44" s="29">
        <v>50000</v>
      </c>
      <c r="D44" s="7">
        <v>75000</v>
      </c>
      <c r="E44" s="29">
        <v>100000</v>
      </c>
      <c r="F44" s="29">
        <v>100000</v>
      </c>
      <c r="G44" s="30">
        <f>84000+(19049*3)+1528</f>
        <v>142675</v>
      </c>
      <c r="H44" s="19">
        <f>G44-D44</f>
        <v>67675</v>
      </c>
      <c r="I44" s="19">
        <f t="shared" si="0"/>
        <v>42675</v>
      </c>
      <c r="J44" s="55" t="s">
        <v>145</v>
      </c>
      <c r="K44" s="14" t="s">
        <v>101</v>
      </c>
      <c r="L44" s="14" t="s">
        <v>102</v>
      </c>
      <c r="M44" s="72" t="s">
        <v>30</v>
      </c>
      <c r="N44" s="72" t="s">
        <v>30</v>
      </c>
      <c r="O44" s="16" t="s">
        <v>138</v>
      </c>
    </row>
    <row r="45" spans="1:19" x14ac:dyDescent="0.3">
      <c r="A45" s="15"/>
      <c r="B45" s="14" t="s">
        <v>53</v>
      </c>
      <c r="C45" s="16"/>
      <c r="D45" s="7"/>
      <c r="E45" s="16"/>
      <c r="F45" s="16">
        <v>33000</v>
      </c>
      <c r="G45" s="30">
        <f>(G44*3/5)+888+200</f>
        <v>86693</v>
      </c>
      <c r="H45" s="31"/>
      <c r="I45" s="19">
        <f t="shared" si="0"/>
        <v>53693</v>
      </c>
      <c r="J45" s="56"/>
      <c r="K45" s="14"/>
      <c r="L45" s="14"/>
      <c r="M45" s="72"/>
      <c r="N45" s="72"/>
    </row>
    <row r="46" spans="1:19" ht="75" customHeight="1" x14ac:dyDescent="0.3">
      <c r="A46" s="15">
        <v>6</v>
      </c>
      <c r="B46" s="14" t="s">
        <v>57</v>
      </c>
      <c r="C46" s="16">
        <v>85</v>
      </c>
      <c r="D46" s="7">
        <v>90</v>
      </c>
      <c r="E46" s="16">
        <v>95</v>
      </c>
      <c r="F46" s="16">
        <v>95</v>
      </c>
      <c r="G46" s="46">
        <f>((38)+(159))/(38+159)*100</f>
        <v>100</v>
      </c>
      <c r="H46" s="28">
        <f>G46-D46</f>
        <v>10</v>
      </c>
      <c r="I46" s="28">
        <f t="shared" si="0"/>
        <v>5</v>
      </c>
      <c r="J46" s="55" t="s">
        <v>145</v>
      </c>
      <c r="K46" s="44" t="s">
        <v>126</v>
      </c>
      <c r="L46" s="14" t="s">
        <v>58</v>
      </c>
      <c r="M46" s="23" t="s">
        <v>30</v>
      </c>
      <c r="N46" s="23" t="s">
        <v>86</v>
      </c>
      <c r="O46" s="16" t="s">
        <v>138</v>
      </c>
    </row>
    <row r="47" spans="1:19" ht="13.8" customHeight="1" x14ac:dyDescent="0.3">
      <c r="A47" s="9"/>
      <c r="B47" s="68" t="s">
        <v>87</v>
      </c>
      <c r="C47" s="68"/>
      <c r="D47" s="68"/>
      <c r="E47" s="68"/>
      <c r="F47" s="68"/>
      <c r="G47" s="68"/>
      <c r="H47" s="68"/>
      <c r="I47" s="68"/>
      <c r="J47" s="68"/>
      <c r="K47" s="68"/>
      <c r="L47" s="68"/>
      <c r="M47" s="68"/>
      <c r="N47" s="68"/>
    </row>
    <row r="48" spans="1:19" ht="187.2" customHeight="1" x14ac:dyDescent="0.3">
      <c r="A48" s="32">
        <v>7</v>
      </c>
      <c r="B48" s="14" t="s">
        <v>88</v>
      </c>
      <c r="C48" s="16">
        <v>550</v>
      </c>
      <c r="D48" s="7">
        <v>700</v>
      </c>
      <c r="E48" s="16">
        <v>1100</v>
      </c>
      <c r="F48" s="16">
        <v>1100</v>
      </c>
      <c r="G48" s="63">
        <f>90.62+63+57.7+47+47.97+(430)</f>
        <v>736.29</v>
      </c>
      <c r="H48" s="19">
        <f>G48-D48</f>
        <v>36.289999999999964</v>
      </c>
      <c r="I48" s="19">
        <f>G48-F48</f>
        <v>-363.71000000000004</v>
      </c>
      <c r="J48" s="44" t="s">
        <v>149</v>
      </c>
      <c r="K48" s="44" t="s">
        <v>146</v>
      </c>
      <c r="L48" s="14" t="s">
        <v>123</v>
      </c>
      <c r="M48" s="27" t="s">
        <v>89</v>
      </c>
      <c r="N48" s="27" t="s">
        <v>90</v>
      </c>
      <c r="O48" s="21" t="s">
        <v>131</v>
      </c>
      <c r="Q48" s="61"/>
      <c r="S48" s="39"/>
    </row>
    <row r="49" spans="1:18" ht="94.2" customHeight="1" x14ac:dyDescent="0.3">
      <c r="A49" s="8">
        <v>8</v>
      </c>
      <c r="B49" s="14" t="s">
        <v>91</v>
      </c>
      <c r="C49" s="16">
        <v>50</v>
      </c>
      <c r="D49" s="7">
        <v>75</v>
      </c>
      <c r="E49" s="16">
        <v>100</v>
      </c>
      <c r="F49" s="16">
        <v>100</v>
      </c>
      <c r="G49" s="18">
        <f>47.5+18.9+105</f>
        <v>171.4</v>
      </c>
      <c r="H49" s="13">
        <f>G49-D49</f>
        <v>96.4</v>
      </c>
      <c r="I49" s="13">
        <f>G49-F49</f>
        <v>71.400000000000006</v>
      </c>
      <c r="J49" s="58" t="s">
        <v>145</v>
      </c>
      <c r="K49" s="14" t="s">
        <v>119</v>
      </c>
      <c r="L49" s="14"/>
      <c r="M49" s="8" t="s">
        <v>30</v>
      </c>
      <c r="N49" s="8" t="s">
        <v>30</v>
      </c>
      <c r="O49" s="21" t="s">
        <v>131</v>
      </c>
      <c r="R49" s="62"/>
    </row>
    <row r="50" spans="1:18" ht="289.8" x14ac:dyDescent="0.3">
      <c r="A50" s="24">
        <v>9</v>
      </c>
      <c r="B50" s="14" t="s">
        <v>92</v>
      </c>
      <c r="C50" s="16">
        <v>75000</v>
      </c>
      <c r="D50" s="7">
        <v>100000</v>
      </c>
      <c r="E50" s="16">
        <v>100000</v>
      </c>
      <c r="F50" s="16">
        <v>100000</v>
      </c>
      <c r="G50" s="12">
        <f>124+3941+770+800+140+700+440+(3105+30)</f>
        <v>10050</v>
      </c>
      <c r="H50" s="13">
        <f>G50-C50</f>
        <v>-64950</v>
      </c>
      <c r="I50" s="13">
        <f>G50-F50</f>
        <v>-89950</v>
      </c>
      <c r="J50" s="14" t="s">
        <v>151</v>
      </c>
      <c r="K50" s="14" t="s">
        <v>120</v>
      </c>
      <c r="L50" s="14" t="s">
        <v>104</v>
      </c>
      <c r="M50" s="10" t="s">
        <v>93</v>
      </c>
      <c r="N50" s="10" t="s">
        <v>93</v>
      </c>
      <c r="O50" s="21" t="s">
        <v>139</v>
      </c>
    </row>
    <row r="51" spans="1:18" ht="82.8" x14ac:dyDescent="0.3">
      <c r="A51" s="24">
        <v>10</v>
      </c>
      <c r="B51" s="14" t="s">
        <v>94</v>
      </c>
      <c r="C51" s="16">
        <v>80</v>
      </c>
      <c r="D51" s="7">
        <v>90</v>
      </c>
      <c r="E51" s="16">
        <v>100</v>
      </c>
      <c r="F51" s="16">
        <v>100</v>
      </c>
      <c r="G51" s="18">
        <v>0</v>
      </c>
      <c r="H51" s="13">
        <f>G51-D51</f>
        <v>-90</v>
      </c>
      <c r="I51" s="13"/>
      <c r="J51" s="58" t="s">
        <v>145</v>
      </c>
      <c r="K51" s="14" t="s">
        <v>103</v>
      </c>
      <c r="L51" s="14" t="s">
        <v>105</v>
      </c>
      <c r="M51" s="10" t="s">
        <v>121</v>
      </c>
      <c r="N51" s="10" t="s">
        <v>107</v>
      </c>
      <c r="O51" s="21" t="s">
        <v>140</v>
      </c>
    </row>
    <row r="52" spans="1:18" x14ac:dyDescent="0.3">
      <c r="A52" s="9"/>
      <c r="B52" s="68" t="s">
        <v>59</v>
      </c>
      <c r="C52" s="68"/>
      <c r="D52" s="68"/>
      <c r="E52" s="68"/>
      <c r="F52" s="68"/>
      <c r="G52" s="68"/>
      <c r="H52" s="68"/>
      <c r="I52" s="68"/>
      <c r="J52" s="68"/>
      <c r="K52" s="68"/>
      <c r="L52" s="68"/>
      <c r="M52" s="68"/>
      <c r="N52" s="68"/>
    </row>
    <row r="53" spans="1:18" ht="126.6" customHeight="1" x14ac:dyDescent="0.3">
      <c r="A53" s="24">
        <v>11</v>
      </c>
      <c r="B53" s="14" t="s">
        <v>60</v>
      </c>
      <c r="C53" s="16">
        <v>300</v>
      </c>
      <c r="D53" s="7">
        <v>400</v>
      </c>
      <c r="E53" s="16">
        <v>520</v>
      </c>
      <c r="F53" s="16">
        <v>620</v>
      </c>
      <c r="G53" s="64">
        <v>126</v>
      </c>
      <c r="H53" s="13">
        <f>G53-C53</f>
        <v>-174</v>
      </c>
      <c r="I53" s="13">
        <f>G53-F53</f>
        <v>-494</v>
      </c>
      <c r="J53" s="9" t="s">
        <v>145</v>
      </c>
      <c r="K53" s="14" t="s">
        <v>128</v>
      </c>
      <c r="L53" s="14" t="s">
        <v>108</v>
      </c>
      <c r="M53" s="10" t="s">
        <v>121</v>
      </c>
      <c r="N53" s="10" t="s">
        <v>122</v>
      </c>
      <c r="O53" s="21" t="s">
        <v>131</v>
      </c>
    </row>
    <row r="54" spans="1:18" ht="304.2" customHeight="1" x14ac:dyDescent="0.3">
      <c r="A54" s="24">
        <v>12</v>
      </c>
      <c r="B54" s="14" t="s">
        <v>61</v>
      </c>
      <c r="C54" s="34">
        <v>80000</v>
      </c>
      <c r="D54" s="33">
        <v>100000</v>
      </c>
      <c r="E54" s="34">
        <v>200000</v>
      </c>
      <c r="F54" s="34">
        <v>400000</v>
      </c>
      <c r="G54" s="64">
        <f>(873+452+4861)+(807)+5870+480+38300</f>
        <v>51643</v>
      </c>
      <c r="H54" s="35">
        <f>G54-D54</f>
        <v>-48357</v>
      </c>
      <c r="I54" s="31">
        <f>G54-F54</f>
        <v>-348357</v>
      </c>
      <c r="J54" s="14" t="s">
        <v>148</v>
      </c>
      <c r="K54" s="14" t="s">
        <v>147</v>
      </c>
      <c r="L54" s="14" t="s">
        <v>62</v>
      </c>
      <c r="M54" s="20" t="s">
        <v>63</v>
      </c>
      <c r="N54" s="21" t="s">
        <v>64</v>
      </c>
      <c r="O54" s="16" t="s">
        <v>132</v>
      </c>
    </row>
    <row r="55" spans="1:18" ht="223.2" customHeight="1" x14ac:dyDescent="0.3">
      <c r="A55" s="15">
        <v>13</v>
      </c>
      <c r="B55" s="14" t="s">
        <v>65</v>
      </c>
      <c r="C55" s="34">
        <v>4000</v>
      </c>
      <c r="D55" s="33">
        <v>5000</v>
      </c>
      <c r="E55" s="34">
        <v>7000</v>
      </c>
      <c r="F55" s="34">
        <v>15000</v>
      </c>
      <c r="G55" s="18">
        <f>((10742)+30*6)+453+779+43</f>
        <v>12197</v>
      </c>
      <c r="H55" s="31">
        <f>G55-D55</f>
        <v>7197</v>
      </c>
      <c r="I55" s="31">
        <f>G55-F55</f>
        <v>-2803</v>
      </c>
      <c r="J55" s="65" t="s">
        <v>145</v>
      </c>
      <c r="K55" s="14" t="s">
        <v>110</v>
      </c>
      <c r="L55" s="14" t="s">
        <v>109</v>
      </c>
      <c r="M55" s="73" t="s">
        <v>30</v>
      </c>
      <c r="N55" s="74" t="s">
        <v>66</v>
      </c>
      <c r="O55" s="16" t="s">
        <v>132</v>
      </c>
    </row>
    <row r="56" spans="1:18" ht="27.6" x14ac:dyDescent="0.3">
      <c r="A56" s="15"/>
      <c r="B56" s="14" t="s">
        <v>67</v>
      </c>
      <c r="C56" s="34">
        <v>2000</v>
      </c>
      <c r="D56" s="33">
        <v>3000</v>
      </c>
      <c r="E56" s="34">
        <v>4000</v>
      </c>
      <c r="F56" s="34">
        <v>4000</v>
      </c>
      <c r="G56" s="18">
        <f>(6240+30*6)+14</f>
        <v>6434</v>
      </c>
      <c r="H56" s="31">
        <f>G56-D56</f>
        <v>3434</v>
      </c>
      <c r="I56" s="31">
        <f>H56-G56</f>
        <v>-3000</v>
      </c>
      <c r="J56" s="57"/>
      <c r="K56" s="14"/>
      <c r="L56" s="14"/>
      <c r="M56" s="73"/>
      <c r="N56" s="74"/>
    </row>
    <row r="57" spans="1:18" ht="138" x14ac:dyDescent="0.3">
      <c r="A57" s="15">
        <v>14</v>
      </c>
      <c r="B57" s="14" t="s">
        <v>68</v>
      </c>
      <c r="C57" s="16"/>
      <c r="D57" s="7"/>
      <c r="E57" s="14">
        <v>0</v>
      </c>
      <c r="F57" s="34">
        <v>125000</v>
      </c>
      <c r="G57" s="45">
        <f>(21027+58392)+(42683+109225)</f>
        <v>231327</v>
      </c>
      <c r="H57" s="31">
        <f>G57-D57</f>
        <v>231327</v>
      </c>
      <c r="I57" s="31">
        <f>G57-F57</f>
        <v>106327</v>
      </c>
      <c r="J57" s="65" t="s">
        <v>145</v>
      </c>
      <c r="K57" s="14" t="s">
        <v>112</v>
      </c>
      <c r="L57" s="14" t="s">
        <v>69</v>
      </c>
      <c r="M57" s="72" t="s">
        <v>70</v>
      </c>
      <c r="N57" s="72" t="s">
        <v>70</v>
      </c>
      <c r="O57" s="16" t="s">
        <v>141</v>
      </c>
    </row>
    <row r="58" spans="1:18" x14ac:dyDescent="0.3">
      <c r="A58" s="13"/>
      <c r="B58" s="14" t="s">
        <v>71</v>
      </c>
      <c r="C58" s="16"/>
      <c r="D58" s="7"/>
      <c r="E58" s="14">
        <v>0</v>
      </c>
      <c r="F58" s="34">
        <v>50000</v>
      </c>
      <c r="G58" s="18">
        <f>5517+16950</f>
        <v>22467</v>
      </c>
      <c r="H58" s="13">
        <f>G58-D58</f>
        <v>22467</v>
      </c>
      <c r="I58" s="31">
        <f>G58-F58</f>
        <v>-27533</v>
      </c>
      <c r="J58" s="57"/>
      <c r="K58" s="14"/>
      <c r="L58" s="14"/>
      <c r="M58" s="72"/>
      <c r="N58" s="72"/>
    </row>
    <row r="59" spans="1:18" x14ac:dyDescent="0.3">
      <c r="A59" s="9"/>
      <c r="B59" s="68" t="s">
        <v>72</v>
      </c>
      <c r="C59" s="68"/>
      <c r="D59" s="68"/>
      <c r="E59" s="68"/>
      <c r="F59" s="68"/>
      <c r="G59" s="68"/>
      <c r="H59" s="68"/>
      <c r="I59" s="68"/>
      <c r="J59" s="68"/>
      <c r="K59" s="68"/>
      <c r="L59" s="68"/>
      <c r="M59" s="68"/>
      <c r="N59" s="68"/>
    </row>
    <row r="60" spans="1:18" ht="217.2" customHeight="1" x14ac:dyDescent="0.3">
      <c r="A60" s="24">
        <v>15</v>
      </c>
      <c r="B60" s="14" t="s">
        <v>73</v>
      </c>
      <c r="C60" s="16">
        <v>80</v>
      </c>
      <c r="D60" s="7">
        <v>90</v>
      </c>
      <c r="E60" s="16">
        <v>100</v>
      </c>
      <c r="F60" s="16">
        <v>100</v>
      </c>
      <c r="G60" s="46">
        <f>(7/30)*100</f>
        <v>23.333333333333332</v>
      </c>
      <c r="H60" s="28">
        <f>G60-D60</f>
        <v>-66.666666666666671</v>
      </c>
      <c r="I60" s="28">
        <f>G60-F60</f>
        <v>-76.666666666666671</v>
      </c>
      <c r="J60" s="60" t="s">
        <v>145</v>
      </c>
      <c r="K60" s="14" t="s">
        <v>74</v>
      </c>
      <c r="L60" s="14" t="s">
        <v>75</v>
      </c>
      <c r="M60" s="10" t="s">
        <v>76</v>
      </c>
      <c r="N60" s="21" t="s">
        <v>77</v>
      </c>
      <c r="O60" s="21" t="s">
        <v>134</v>
      </c>
    </row>
    <row r="61" spans="1:18" ht="110.4" x14ac:dyDescent="0.3">
      <c r="A61" s="15">
        <v>16</v>
      </c>
      <c r="B61" s="14" t="s">
        <v>78</v>
      </c>
      <c r="C61" s="16"/>
      <c r="D61" s="7"/>
      <c r="E61" s="16">
        <v>15</v>
      </c>
      <c r="F61" s="16">
        <v>15</v>
      </c>
      <c r="G61" s="18">
        <v>30</v>
      </c>
      <c r="H61" s="13">
        <f>G61-30</f>
        <v>0</v>
      </c>
      <c r="I61" s="13"/>
      <c r="J61" s="58" t="s">
        <v>145</v>
      </c>
      <c r="K61" s="14" t="s">
        <v>79</v>
      </c>
      <c r="L61" s="14" t="s">
        <v>80</v>
      </c>
      <c r="M61" s="8" t="s">
        <v>30</v>
      </c>
      <c r="N61" s="8" t="s">
        <v>22</v>
      </c>
      <c r="O61" s="21" t="s">
        <v>143</v>
      </c>
    </row>
    <row r="62" spans="1:18" ht="110.4" x14ac:dyDescent="0.3">
      <c r="A62" s="15">
        <v>17</v>
      </c>
      <c r="B62" s="14" t="s">
        <v>81</v>
      </c>
      <c r="C62" s="16">
        <v>5</v>
      </c>
      <c r="D62" s="7">
        <v>10</v>
      </c>
      <c r="E62" s="16">
        <v>15</v>
      </c>
      <c r="F62" s="16">
        <v>15</v>
      </c>
      <c r="G62" s="46">
        <f>(27/30)*100</f>
        <v>90</v>
      </c>
      <c r="H62" s="13"/>
      <c r="I62" s="13">
        <f>G62-100</f>
        <v>-10</v>
      </c>
      <c r="J62" s="58" t="s">
        <v>145</v>
      </c>
      <c r="K62" s="14" t="s">
        <v>82</v>
      </c>
      <c r="L62" s="14" t="s">
        <v>83</v>
      </c>
      <c r="M62" s="8" t="s">
        <v>30</v>
      </c>
      <c r="N62" s="36" t="s">
        <v>50</v>
      </c>
      <c r="O62" s="21" t="s">
        <v>142</v>
      </c>
    </row>
    <row r="63" spans="1:18" ht="41.4" x14ac:dyDescent="0.3">
      <c r="A63" s="32">
        <v>18</v>
      </c>
      <c r="B63" s="14" t="s">
        <v>84</v>
      </c>
      <c r="C63" s="16">
        <v>90</v>
      </c>
      <c r="D63" s="7">
        <v>95</v>
      </c>
      <c r="E63" s="16">
        <v>100</v>
      </c>
      <c r="F63" s="16">
        <v>100</v>
      </c>
      <c r="G63" s="47">
        <f>(578/636)*100</f>
        <v>90.880503144654085</v>
      </c>
      <c r="H63" s="28">
        <f>G63-C63</f>
        <v>0.88050314465408519</v>
      </c>
      <c r="I63" s="28">
        <f>G63-F63</f>
        <v>-9.1194968553459148</v>
      </c>
      <c r="J63" s="60" t="s">
        <v>145</v>
      </c>
      <c r="K63" s="14" t="s">
        <v>106</v>
      </c>
      <c r="L63" s="14" t="s">
        <v>85</v>
      </c>
      <c r="M63" s="27" t="s">
        <v>50</v>
      </c>
      <c r="N63" s="27" t="s">
        <v>50</v>
      </c>
      <c r="O63" s="21" t="s">
        <v>143</v>
      </c>
    </row>
    <row r="64" spans="1:18" x14ac:dyDescent="0.3">
      <c r="B64" s="5"/>
      <c r="C64" s="38"/>
      <c r="D64" s="37"/>
      <c r="E64" s="38"/>
      <c r="F64" s="38"/>
      <c r="G64" s="39"/>
      <c r="K64" s="40"/>
    </row>
    <row r="66" spans="5:7" x14ac:dyDescent="0.3">
      <c r="E66" s="41"/>
      <c r="F66" s="41"/>
      <c r="G66" s="42"/>
    </row>
  </sheetData>
  <mergeCells count="56">
    <mergeCell ref="B15:N15"/>
    <mergeCell ref="L13:L14"/>
    <mergeCell ref="M13:M14"/>
    <mergeCell ref="N13:N14"/>
    <mergeCell ref="F13:F14"/>
    <mergeCell ref="G13:G14"/>
    <mergeCell ref="H13:H14"/>
    <mergeCell ref="I13:I14"/>
    <mergeCell ref="K13:K14"/>
    <mergeCell ref="A13:A14"/>
    <mergeCell ref="B13:B14"/>
    <mergeCell ref="C13:C14"/>
    <mergeCell ref="D13:D14"/>
    <mergeCell ref="E13:E14"/>
    <mergeCell ref="B7:N7"/>
    <mergeCell ref="B8:N8"/>
    <mergeCell ref="B9:N9"/>
    <mergeCell ref="B10:N10"/>
    <mergeCell ref="B11:N11"/>
    <mergeCell ref="A18:A19"/>
    <mergeCell ref="B20:N20"/>
    <mergeCell ref="M21:M23"/>
    <mergeCell ref="N21:N23"/>
    <mergeCell ref="B26:N26"/>
    <mergeCell ref="B24:N24"/>
    <mergeCell ref="A29:A31"/>
    <mergeCell ref="B32:N32"/>
    <mergeCell ref="B34:B35"/>
    <mergeCell ref="C34:C35"/>
    <mergeCell ref="E34:E35"/>
    <mergeCell ref="F34:F35"/>
    <mergeCell ref="G34:G35"/>
    <mergeCell ref="H34:H35"/>
    <mergeCell ref="D34:D35"/>
    <mergeCell ref="A41:A43"/>
    <mergeCell ref="I34:I35"/>
    <mergeCell ref="K34:K35"/>
    <mergeCell ref="L34:L35"/>
    <mergeCell ref="M34:M35"/>
    <mergeCell ref="M40:M43"/>
    <mergeCell ref="O13:O14"/>
    <mergeCell ref="J34:J35"/>
    <mergeCell ref="J13:J14"/>
    <mergeCell ref="B59:N59"/>
    <mergeCell ref="B47:N47"/>
    <mergeCell ref="B36:N36"/>
    <mergeCell ref="N34:N35"/>
    <mergeCell ref="M44:M45"/>
    <mergeCell ref="N44:N45"/>
    <mergeCell ref="B52:N52"/>
    <mergeCell ref="M57:M58"/>
    <mergeCell ref="N57:N58"/>
    <mergeCell ref="M55:M56"/>
    <mergeCell ref="N55:N56"/>
    <mergeCell ref="B28:N28"/>
    <mergeCell ref="N40:N43"/>
  </mergeCells>
  <pageMargins left="0.19685039370078741" right="0.19685039370078741" top="0.23622047244094491" bottom="0.32" header="0.15748031496062992" footer="0.15748031496062992"/>
  <pageSetup paperSize="9" scale="66" orientation="landscape" r:id="rId1"/>
  <headerFooter>
    <oddFooter>&amp;R&amp;P/&amp;N</oddFooter>
  </headerFooter>
  <colBreaks count="1" manualBreakCount="1">
    <brk id="14"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17_12_2024</vt:lpstr>
      <vt:lpstr>'17_12_2024'!Impression_des_titres</vt:lpstr>
      <vt:lpstr>'17_12_2024'!Zone_d_impression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Irène KI</cp:lastModifiedBy>
  <cp:lastPrinted>2024-10-21T09:39:57Z</cp:lastPrinted>
  <dcterms:created xsi:type="dcterms:W3CDTF">2024-04-08T00:20:40Z</dcterms:created>
  <dcterms:modified xsi:type="dcterms:W3CDTF">2025-01-06T11:53:52Z</dcterms:modified>
</cp:coreProperties>
</file>